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9405" activeTab="2"/>
  </bookViews>
  <sheets>
    <sheet name="Uniformity" sheetId="4" r:id="rId1"/>
    <sheet name="Metformin HCl " sheetId="5" r:id="rId2"/>
    <sheet name="Metformin HCl 2" sheetId="10" r:id="rId3"/>
  </sheets>
  <definedNames>
    <definedName name="_xlnm.Print_Area" localSheetId="1">'Metformin HCl '!$A$1:$H$126</definedName>
    <definedName name="_xlnm.Print_Area" localSheetId="2">'Metformin HCl 2'!$A$1:$H$126</definedName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G70" i="10" l="1"/>
  <c r="G69" i="10"/>
  <c r="G68" i="10"/>
  <c r="G66" i="10"/>
  <c r="G65" i="10"/>
  <c r="G64" i="10"/>
  <c r="G62" i="10"/>
  <c r="G61" i="10"/>
  <c r="G60" i="10"/>
  <c r="B69" i="10"/>
  <c r="C121" i="10"/>
  <c r="B117" i="10"/>
  <c r="D101" i="10"/>
  <c r="B99" i="10"/>
  <c r="D102" i="10" s="1"/>
  <c r="F96" i="10"/>
  <c r="D96" i="10"/>
  <c r="G95" i="10"/>
  <c r="E95" i="10"/>
  <c r="B88" i="10"/>
  <c r="F98" i="10" s="1"/>
  <c r="F99" i="10" s="1"/>
  <c r="F100" i="10" s="1"/>
  <c r="B84" i="10"/>
  <c r="B83" i="10"/>
  <c r="B82" i="10"/>
  <c r="B81" i="10"/>
  <c r="B80" i="10"/>
  <c r="C76" i="10"/>
  <c r="H71" i="10"/>
  <c r="G71" i="10"/>
  <c r="B68" i="10"/>
  <c r="H67" i="10"/>
  <c r="G67" i="10"/>
  <c r="H63" i="10"/>
  <c r="G63" i="10"/>
  <c r="B57" i="10"/>
  <c r="C56" i="10"/>
  <c r="B55" i="10"/>
  <c r="B45" i="10"/>
  <c r="D48" i="10" s="1"/>
  <c r="F42" i="10"/>
  <c r="D42" i="10"/>
  <c r="G41" i="10"/>
  <c r="E41" i="10"/>
  <c r="B34" i="10"/>
  <c r="F44" i="10" s="1"/>
  <c r="F45" i="10" s="1"/>
  <c r="F46" i="10" s="1"/>
  <c r="B30" i="10"/>
  <c r="B117" i="5"/>
  <c r="D101" i="5"/>
  <c r="B99" i="5"/>
  <c r="B45" i="5"/>
  <c r="D48" i="5" s="1"/>
  <c r="B30" i="5"/>
  <c r="C121" i="5"/>
  <c r="F96" i="5"/>
  <c r="D96" i="5"/>
  <c r="G95" i="5"/>
  <c r="E95" i="5"/>
  <c r="B88" i="5"/>
  <c r="D98" i="5" s="1"/>
  <c r="B83" i="5"/>
  <c r="B82" i="5"/>
  <c r="B81" i="5"/>
  <c r="B80" i="5"/>
  <c r="C76" i="5"/>
  <c r="H71" i="5"/>
  <c r="G71" i="5"/>
  <c r="B68" i="5"/>
  <c r="H67" i="5"/>
  <c r="G67" i="5"/>
  <c r="H63" i="5"/>
  <c r="G63" i="5"/>
  <c r="C56" i="5"/>
  <c r="B55" i="5"/>
  <c r="F42" i="5"/>
  <c r="D42" i="5"/>
  <c r="G41" i="5"/>
  <c r="E41" i="5"/>
  <c r="B34" i="5"/>
  <c r="C49" i="4"/>
  <c r="C46" i="4"/>
  <c r="C45" i="4"/>
  <c r="D43" i="4"/>
  <c r="D41" i="4"/>
  <c r="D39" i="4"/>
  <c r="D37" i="4"/>
  <c r="D35" i="4"/>
  <c r="D33" i="4"/>
  <c r="D31" i="4"/>
  <c r="D29" i="4"/>
  <c r="D27" i="4"/>
  <c r="D25" i="4"/>
  <c r="D103" i="10" l="1"/>
  <c r="G94" i="10"/>
  <c r="G92" i="10"/>
  <c r="G96" i="10" s="1"/>
  <c r="G93" i="10"/>
  <c r="G40" i="10"/>
  <c r="G38" i="10"/>
  <c r="D49" i="10"/>
  <c r="G39" i="10"/>
  <c r="D44" i="10"/>
  <c r="D45" i="10" s="1"/>
  <c r="D46" i="10" s="1"/>
  <c r="D98" i="10"/>
  <c r="D99" i="10" s="1"/>
  <c r="D100" i="10" s="1"/>
  <c r="E38" i="5"/>
  <c r="B84" i="5"/>
  <c r="D102" i="5"/>
  <c r="D99" i="5"/>
  <c r="D100" i="5" s="1"/>
  <c r="B57" i="5"/>
  <c r="B69" i="5" s="1"/>
  <c r="C50" i="4"/>
  <c r="D49" i="5"/>
  <c r="D26" i="4"/>
  <c r="D30" i="4"/>
  <c r="D34" i="4"/>
  <c r="D38" i="4"/>
  <c r="D42" i="4"/>
  <c r="B49" i="4"/>
  <c r="D50" i="4"/>
  <c r="D24" i="4"/>
  <c r="D28" i="4"/>
  <c r="D32" i="4"/>
  <c r="D36" i="4"/>
  <c r="D40" i="4"/>
  <c r="D49" i="4"/>
  <c r="D44" i="5"/>
  <c r="D45" i="5" s="1"/>
  <c r="E40" i="5" s="1"/>
  <c r="F44" i="5"/>
  <c r="F45" i="5" s="1"/>
  <c r="F46" i="5" s="1"/>
  <c r="F98" i="5"/>
  <c r="F99" i="5" s="1"/>
  <c r="F100" i="5" s="1"/>
  <c r="E38" i="10" l="1"/>
  <c r="E40" i="10"/>
  <c r="E39" i="10"/>
  <c r="E92" i="10"/>
  <c r="G42" i="10"/>
  <c r="E94" i="10"/>
  <c r="E93" i="10"/>
  <c r="E93" i="5"/>
  <c r="D103" i="5"/>
  <c r="E92" i="5"/>
  <c r="G92" i="5"/>
  <c r="G38" i="5"/>
  <c r="G39" i="5"/>
  <c r="E94" i="5"/>
  <c r="E96" i="5" s="1"/>
  <c r="G94" i="5"/>
  <c r="D46" i="5"/>
  <c r="E39" i="5"/>
  <c r="G93" i="5"/>
  <c r="G40" i="5"/>
  <c r="E42" i="10" l="1"/>
  <c r="D52" i="10"/>
  <c r="D50" i="10"/>
  <c r="H70" i="10" s="1"/>
  <c r="D104" i="10"/>
  <c r="E96" i="10"/>
  <c r="D106" i="10"/>
  <c r="G96" i="5"/>
  <c r="G42" i="5"/>
  <c r="D106" i="5"/>
  <c r="D52" i="5"/>
  <c r="D50" i="5"/>
  <c r="E42" i="5"/>
  <c r="D104" i="5"/>
  <c r="E109" i="5" s="1"/>
  <c r="F109" i="5" s="1"/>
  <c r="H62" i="10" l="1"/>
  <c r="H68" i="10"/>
  <c r="H64" i="10"/>
  <c r="H61" i="10"/>
  <c r="H66" i="10"/>
  <c r="H65" i="10"/>
  <c r="H60" i="10"/>
  <c r="H69" i="10"/>
  <c r="D51" i="10"/>
  <c r="E113" i="10"/>
  <c r="F113" i="10" s="1"/>
  <c r="E111" i="10"/>
  <c r="F111" i="10" s="1"/>
  <c r="E109" i="10"/>
  <c r="F109" i="10" s="1"/>
  <c r="E114" i="10"/>
  <c r="F114" i="10" s="1"/>
  <c r="E112" i="10"/>
  <c r="F112" i="10" s="1"/>
  <c r="E110" i="10"/>
  <c r="F110" i="10" s="1"/>
  <c r="D105" i="10"/>
  <c r="G70" i="5"/>
  <c r="G62" i="5"/>
  <c r="G60" i="5"/>
  <c r="G69" i="5"/>
  <c r="G61" i="5"/>
  <c r="H61" i="5" s="1"/>
  <c r="G66" i="5"/>
  <c r="G68" i="5"/>
  <c r="H68" i="5" s="1"/>
  <c r="G65" i="5"/>
  <c r="H65" i="5" s="1"/>
  <c r="G64" i="5"/>
  <c r="H64" i="5" s="1"/>
  <c r="H69" i="5"/>
  <c r="H66" i="5"/>
  <c r="H62" i="5"/>
  <c r="H60" i="5"/>
  <c r="D51" i="5"/>
  <c r="H70" i="5"/>
  <c r="E114" i="5"/>
  <c r="F114" i="5" s="1"/>
  <c r="E112" i="5"/>
  <c r="F112" i="5" s="1"/>
  <c r="E110" i="5"/>
  <c r="F110" i="5" s="1"/>
  <c r="D105" i="5"/>
  <c r="E113" i="5"/>
  <c r="F113" i="5" s="1"/>
  <c r="E111" i="5"/>
  <c r="F111" i="5" s="1"/>
  <c r="H72" i="10" l="1"/>
  <c r="H73" i="10" s="1"/>
  <c r="H74" i="10"/>
  <c r="F116" i="10"/>
  <c r="F118" i="10"/>
  <c r="F118" i="5"/>
  <c r="F116" i="5"/>
  <c r="H74" i="5"/>
  <c r="H72" i="5"/>
  <c r="G76" i="5" s="1"/>
  <c r="G76" i="10" l="1"/>
  <c r="G121" i="10"/>
  <c r="F117" i="10"/>
  <c r="H73" i="5"/>
  <c r="F117" i="5"/>
  <c r="G121" i="5"/>
</calcChain>
</file>

<file path=xl/sharedStrings.xml><?xml version="1.0" encoding="utf-8"?>
<sst xmlns="http://schemas.openxmlformats.org/spreadsheetml/2006/main" count="345" uniqueCount="107">
  <si>
    <t>Analysis Data</t>
  </si>
  <si>
    <t>Reference Substance:</t>
  </si>
  <si>
    <t>Metphage 850mg</t>
  </si>
  <si>
    <t>% age Purity:</t>
  </si>
  <si>
    <t>NDQD201507017</t>
  </si>
  <si>
    <t>2015-07-09 14:58:21</t>
  </si>
  <si>
    <t>n: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</si>
  <si>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</si>
  <si>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</si>
  <si>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</si>
  <si>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</si>
  <si>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</si>
  <si>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</si>
  <si>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</si>
  <si>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</si>
  <si>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</si>
  <si>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</si>
  <si>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</si>
  <si>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</si>
  <si>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</si>
  <si>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</si>
  <si>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</si>
  <si>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</si>
  <si>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</si>
  <si>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</si>
  <si>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</si>
  <si>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</si>
  <si>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</si>
  <si>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</si>
  <si>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</si>
  <si>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</si>
  <si>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</si>
  <si>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</si>
  <si>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</si>
  <si>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</si>
  <si>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</si>
  <si>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</si>
  <si>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</si>
  <si>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</si>
  <si>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</si>
  <si>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</si>
  <si>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</si>
  <si>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</si>
  <si>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</si>
  <si>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</si>
  <si>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</si>
  <si>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</si>
  <si>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</si>
  <si>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</si>
  <si>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</si>
  <si>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</si>
  <si>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</si>
  <si>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</si>
  <si>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</si>
  <si>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</si>
  <si>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</si>
  <si>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</si>
  <si>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</si>
  <si>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Comment</t>
  </si>
  <si>
    <t xml:space="preserve">in the sample as a percentage of the stated  label claim is </t>
  </si>
  <si>
    <t>Average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</si>
  <si>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</si>
  <si>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</si>
  <si>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</si>
  <si>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</si>
  <si>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</si>
  <si>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</si>
  <si>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</si>
  <si>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</si>
  <si>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</si>
  <si>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</si>
  <si>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</si>
  <si>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</si>
  <si>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</si>
  <si>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</si>
  <si>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</si>
  <si>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Average Normalised Peak Area:</t>
  </si>
  <si>
    <t>Medium Volume (mL):</t>
  </si>
  <si>
    <t>tablet No.</t>
  </si>
  <si>
    <t>Amt Released (mg):</t>
  </si>
  <si>
    <t>%age Released:</t>
  </si>
  <si>
    <t>Analysis Data:</t>
  </si>
  <si>
    <t>If correction for water content is not needed please enter 0</t>
  </si>
  <si>
    <t>Inj</t>
  </si>
  <si>
    <t xml:space="preserve">The amount  of </t>
  </si>
  <si>
    <t xml:space="preserve">dissolved as a percentage of the stated  label claim is </t>
  </si>
  <si>
    <t>Uniformity of Weight Test Report</t>
  </si>
  <si>
    <t>Uniformity of weight</t>
  </si>
  <si>
    <t>Tablet weight (mg)</t>
  </si>
  <si>
    <t>% Deviation</t>
  </si>
  <si>
    <t>Total</t>
  </si>
  <si>
    <t>% Deviation from mean</t>
  </si>
  <si>
    <t>Initial    Standard dilution</t>
  </si>
  <si>
    <t>Each Tablet contains</t>
  </si>
  <si>
    <t>Average Tablet Content Weight (mg):</t>
  </si>
  <si>
    <t>Initial    Sample dilution</t>
  </si>
  <si>
    <t>Desired Sample Weight (mg):</t>
  </si>
  <si>
    <t>Determination of Active Ingredient Dissolved after</t>
  </si>
  <si>
    <t>Metformin HCl</t>
  </si>
  <si>
    <t>M19-1</t>
  </si>
  <si>
    <t>METPHAGE 850 TABLETS</t>
  </si>
  <si>
    <t>NDQD201707017</t>
  </si>
  <si>
    <t>Each Tablet contains Metformin HCl 850 mg</t>
  </si>
  <si>
    <t>45 Minutes</t>
  </si>
  <si>
    <t>Metformin Hydrochloride USP 850mg</t>
  </si>
  <si>
    <t>Each tablets contains Metformine Hydrochloride BP 850mg</t>
  </si>
  <si>
    <t>8th sep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</si>
</sst>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%"/>
    <numFmt numFmtId="166" formatCode="0.0000\ &quot;mg&quot;"/>
    <numFmt numFmtId="167" formatCode="0.000"/>
    <numFmt numFmtId="171" formatCode="0.0000"/>
    <numFmt numFmtId="172" formatCode="[$-409]d/mmm/yy;@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b/>
      <u/>
      <sz val="20"/>
      <color rgb="FF000000"/>
      <name val="Book Antiqua"/>
    </font>
    <font>
      <b/>
      <i/>
      <sz val="12"/>
      <color rgb="FF000000"/>
      <name val="Book Antiqua"/>
    </font>
    <font>
      <vertAlign val="superscript"/>
      <sz val="14"/>
      <color rgb="FF000000"/>
      <name val="Book Antiqua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0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71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1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4" xfId="0" applyFont="1" applyFill="1" applyBorder="1"/>
    <xf numFmtId="0" fontId="6" fillId="2" borderId="0" xfId="0" applyFont="1" applyFill="1" applyAlignment="1">
      <alignment horizontal="center"/>
    </xf>
    <xf numFmtId="10" fontId="6" fillId="2" borderId="4" xfId="0" applyNumberFormat="1" applyFont="1" applyFill="1" applyBorder="1"/>
    <xf numFmtId="0" fontId="19" fillId="2" borderId="0" xfId="0" applyFont="1" applyFill="1"/>
    <xf numFmtId="0" fontId="5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3" xfId="0" applyFont="1" applyFill="1" applyBorder="1"/>
    <xf numFmtId="0" fontId="6" fillId="2" borderId="0" xfId="0" applyFont="1" applyFill="1"/>
    <xf numFmtId="0" fontId="6" fillId="2" borderId="3" xfId="0" applyFont="1" applyFill="1" applyBorder="1"/>
    <xf numFmtId="0" fontId="5" fillId="2" borderId="6" xfId="0" applyFont="1" applyFill="1" applyBorder="1"/>
    <xf numFmtId="0" fontId="5" fillId="2" borderId="0" xfId="0" applyFont="1" applyFill="1"/>
    <xf numFmtId="0" fontId="6" fillId="2" borderId="6" xfId="0" applyFont="1" applyFill="1" applyBorder="1"/>
    <xf numFmtId="172" fontId="6" fillId="2" borderId="0" xfId="0" applyNumberFormat="1" applyFont="1" applyFill="1"/>
    <xf numFmtId="171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53" xfId="0" applyNumberFormat="1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right" vertical="center"/>
    </xf>
    <xf numFmtId="171" fontId="6" fillId="2" borderId="53" xfId="0" applyNumberFormat="1" applyFont="1" applyFill="1" applyBorder="1" applyAlignment="1">
      <alignment horizontal="center" vertical="center"/>
    </xf>
    <xf numFmtId="164" fontId="5" fillId="2" borderId="53" xfId="0" applyNumberFormat="1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horizontal="center" wrapText="1"/>
    </xf>
    <xf numFmtId="164" fontId="5" fillId="2" borderId="53" xfId="0" applyNumberFormat="1" applyFont="1" applyFill="1" applyBorder="1" applyAlignment="1">
      <alignment horizontal="center" wrapText="1"/>
    </xf>
    <xf numFmtId="10" fontId="6" fillId="2" borderId="30" xfId="0" applyNumberFormat="1" applyFont="1" applyFill="1" applyBorder="1" applyAlignment="1">
      <alignment horizontal="center"/>
    </xf>
    <xf numFmtId="10" fontId="6" fillId="2" borderId="45" xfId="0" applyNumberFormat="1" applyFont="1" applyFill="1" applyBorder="1" applyAlignment="1">
      <alignment horizontal="center"/>
    </xf>
    <xf numFmtId="10" fontId="6" fillId="2" borderId="29" xfId="0" applyNumberFormat="1" applyFont="1" applyFill="1" applyBorder="1" applyAlignment="1">
      <alignment horizontal="center"/>
    </xf>
    <xf numFmtId="0" fontId="4" fillId="2" borderId="0" xfId="0" applyFont="1" applyFill="1"/>
    <xf numFmtId="0" fontId="20" fillId="2" borderId="0" xfId="0" applyFont="1" applyFill="1" applyAlignment="1">
      <alignment wrapText="1"/>
    </xf>
    <xf numFmtId="0" fontId="5" fillId="2" borderId="53" xfId="0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/>
    </xf>
    <xf numFmtId="165" fontId="5" fillId="2" borderId="28" xfId="0" applyNumberFormat="1" applyFont="1" applyFill="1" applyBorder="1" applyAlignment="1">
      <alignment horizontal="center"/>
    </xf>
    <xf numFmtId="2" fontId="6" fillId="3" borderId="45" xfId="0" applyNumberFormat="1" applyFont="1" applyFill="1" applyBorder="1" applyProtection="1">
      <protection locked="0"/>
    </xf>
    <xf numFmtId="2" fontId="6" fillId="3" borderId="29" xfId="0" applyNumberFormat="1" applyFont="1" applyFill="1" applyBorder="1" applyProtection="1">
      <protection locked="0"/>
    </xf>
    <xf numFmtId="172" fontId="6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15" fontId="7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16" fillId="2" borderId="0" xfId="0" applyFont="1" applyFill="1" applyAlignment="1">
      <alignment vertical="center" wrapText="1"/>
    </xf>
    <xf numFmtId="0" fontId="12" fillId="2" borderId="0" xfId="0" applyFont="1" applyFill="1"/>
    <xf numFmtId="0" fontId="17" fillId="2" borderId="0" xfId="0" applyFont="1" applyFill="1"/>
    <xf numFmtId="2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vertical="center" wrapText="1"/>
    </xf>
    <xf numFmtId="0" fontId="11" fillId="2" borderId="0" xfId="0" applyFont="1" applyFill="1"/>
    <xf numFmtId="0" fontId="13" fillId="2" borderId="0" xfId="0" applyFont="1" applyFill="1" applyAlignment="1">
      <alignment horizontal="left" vertical="center" wrapText="1"/>
    </xf>
    <xf numFmtId="166" fontId="8" fillId="2" borderId="0" xfId="0" applyNumberFormat="1" applyFont="1" applyFill="1" applyAlignment="1">
      <alignment horizontal="center"/>
    </xf>
    <xf numFmtId="0" fontId="7" fillId="2" borderId="7" xfId="0" applyFont="1" applyFill="1" applyBorder="1" applyAlignment="1">
      <alignment horizontal="right"/>
    </xf>
    <xf numFmtId="0" fontId="7" fillId="2" borderId="8" xfId="0" applyFont="1" applyFill="1" applyBorder="1" applyAlignment="1">
      <alignment horizontal="right"/>
    </xf>
    <xf numFmtId="0" fontId="7" fillId="2" borderId="16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0" xfId="0" applyFont="1" applyFill="1"/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right"/>
    </xf>
    <xf numFmtId="1" fontId="8" fillId="4" borderId="22" xfId="0" applyNumberFormat="1" applyFont="1" applyFill="1" applyBorder="1" applyAlignment="1">
      <alignment horizontal="center"/>
    </xf>
    <xf numFmtId="167" fontId="8" fillId="4" borderId="24" xfId="0" applyNumberFormat="1" applyFont="1" applyFill="1" applyBorder="1" applyAlignment="1">
      <alignment horizontal="center"/>
    </xf>
    <xf numFmtId="2" fontId="7" fillId="4" borderId="27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2" fontId="7" fillId="5" borderId="27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7" fillId="4" borderId="28" xfId="0" applyNumberFormat="1" applyFont="1" applyFill="1" applyBorder="1" applyAlignment="1">
      <alignment horizontal="center"/>
    </xf>
    <xf numFmtId="0" fontId="7" fillId="2" borderId="27" xfId="0" applyFont="1" applyFill="1" applyBorder="1" applyAlignment="1">
      <alignment horizontal="right"/>
    </xf>
    <xf numFmtId="1" fontId="7" fillId="2" borderId="0" xfId="0" applyNumberFormat="1" applyFont="1" applyFill="1" applyAlignment="1">
      <alignment horizontal="center"/>
    </xf>
    <xf numFmtId="0" fontId="7" fillId="2" borderId="28" xfId="0" applyFont="1" applyFill="1" applyBorder="1" applyAlignment="1">
      <alignment horizontal="right"/>
    </xf>
    <xf numFmtId="0" fontId="7" fillId="2" borderId="48" xfId="0" applyFont="1" applyFill="1" applyBorder="1" applyAlignment="1">
      <alignment horizontal="right"/>
    </xf>
    <xf numFmtId="167" fontId="7" fillId="2" borderId="0" xfId="0" applyNumberFormat="1" applyFont="1" applyFill="1" applyAlignment="1">
      <alignment horizontal="center"/>
    </xf>
    <xf numFmtId="10" fontId="7" fillId="4" borderId="27" xfId="0" applyNumberFormat="1" applyFont="1" applyFill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8" fillId="2" borderId="30" xfId="0" applyFont="1" applyFill="1" applyBorder="1" applyAlignment="1">
      <alignment horizontal="center"/>
    </xf>
    <xf numFmtId="2" fontId="8" fillId="2" borderId="30" xfId="0" applyNumberFormat="1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45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0" xfId="0" applyFont="1" applyFill="1"/>
    <xf numFmtId="167" fontId="8" fillId="4" borderId="2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 wrapText="1"/>
    </xf>
    <xf numFmtId="10" fontId="8" fillId="4" borderId="27" xfId="0" applyNumberFormat="1" applyFont="1" applyFill="1" applyBorder="1" applyAlignment="1">
      <alignment horizontal="center"/>
    </xf>
    <xf numFmtId="10" fontId="7" fillId="2" borderId="0" xfId="0" applyNumberFormat="1" applyFont="1" applyFill="1" applyAlignment="1">
      <alignment horizontal="center"/>
    </xf>
    <xf numFmtId="0" fontId="8" fillId="5" borderId="28" xfId="0" applyFont="1" applyFill="1" applyBorder="1" applyAlignment="1">
      <alignment horizontal="center"/>
    </xf>
    <xf numFmtId="0" fontId="8" fillId="2" borderId="43" xfId="0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0" fontId="8" fillId="2" borderId="33" xfId="0" applyFont="1" applyFill="1" applyBorder="1"/>
    <xf numFmtId="0" fontId="8" fillId="2" borderId="10" xfId="0" applyFont="1" applyFill="1" applyBorder="1" applyAlignment="1">
      <alignment horizontal="center" wrapText="1"/>
    </xf>
    <xf numFmtId="2" fontId="7" fillId="2" borderId="12" xfId="0" applyNumberFormat="1" applyFont="1" applyFill="1" applyBorder="1" applyAlignment="1">
      <alignment horizontal="center"/>
    </xf>
    <xf numFmtId="10" fontId="7" fillId="2" borderId="13" xfId="0" applyNumberFormat="1" applyFont="1" applyFill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2" fontId="7" fillId="2" borderId="20" xfId="0" applyNumberFormat="1" applyFont="1" applyFill="1" applyBorder="1" applyAlignment="1">
      <alignment horizontal="center"/>
    </xf>
    <xf numFmtId="2" fontId="7" fillId="2" borderId="16" xfId="0" applyNumberFormat="1" applyFont="1" applyFill="1" applyBorder="1" applyAlignment="1">
      <alignment horizontal="center"/>
    </xf>
    <xf numFmtId="167" fontId="8" fillId="2" borderId="0" xfId="0" applyNumberFormat="1" applyFont="1" applyFill="1" applyAlignment="1">
      <alignment horizontal="center"/>
    </xf>
    <xf numFmtId="167" fontId="7" fillId="2" borderId="1" xfId="0" applyNumberFormat="1" applyFont="1" applyFill="1" applyBorder="1" applyAlignment="1">
      <alignment horizontal="right"/>
    </xf>
    <xf numFmtId="0" fontId="7" fillId="2" borderId="8" xfId="0" applyFont="1" applyFill="1" applyBorder="1"/>
    <xf numFmtId="0" fontId="7" fillId="2" borderId="2" xfId="0" applyFont="1" applyFill="1" applyBorder="1"/>
    <xf numFmtId="0" fontId="7" fillId="2" borderId="0" xfId="0" applyFont="1" applyFill="1" applyAlignment="1">
      <alignment horizontal="right"/>
    </xf>
    <xf numFmtId="0" fontId="7" fillId="2" borderId="31" xfId="0" applyFont="1" applyFill="1" applyBorder="1"/>
    <xf numFmtId="0" fontId="7" fillId="2" borderId="49" xfId="0" applyFont="1" applyFill="1" applyBorder="1" applyAlignment="1">
      <alignment horizontal="center"/>
    </xf>
    <xf numFmtId="0" fontId="7" fillId="2" borderId="50" xfId="0" applyFont="1" applyFill="1" applyBorder="1" applyAlignment="1">
      <alignment horizontal="right"/>
    </xf>
    <xf numFmtId="0" fontId="7" fillId="2" borderId="46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2" borderId="43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2" fontId="7" fillId="2" borderId="7" xfId="0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7" fillId="2" borderId="30" xfId="0" applyNumberFormat="1" applyFont="1" applyFill="1" applyBorder="1" applyAlignment="1">
      <alignment horizontal="center" vertical="center"/>
    </xf>
    <xf numFmtId="10" fontId="7" fillId="2" borderId="45" xfId="0" applyNumberFormat="1" applyFont="1" applyFill="1" applyBorder="1" applyAlignment="1">
      <alignment horizontal="center" vertical="center"/>
    </xf>
    <xf numFmtId="10" fontId="7" fillId="2" borderId="29" xfId="0" applyNumberFormat="1" applyFont="1" applyFill="1" applyBorder="1" applyAlignment="1">
      <alignment horizontal="center" vertical="center"/>
    </xf>
    <xf numFmtId="10" fontId="7" fillId="2" borderId="9" xfId="0" applyNumberFormat="1" applyFont="1" applyFill="1" applyBorder="1" applyAlignment="1">
      <alignment horizontal="center"/>
    </xf>
    <xf numFmtId="10" fontId="7" fillId="2" borderId="21" xfId="0" applyNumberFormat="1" applyFont="1" applyFill="1" applyBorder="1" applyAlignment="1">
      <alignment horizontal="center"/>
    </xf>
    <xf numFmtId="0" fontId="13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/>
    <xf numFmtId="0" fontId="8" fillId="3" borderId="0" xfId="0" applyFont="1" applyFill="1" applyAlignment="1" applyProtection="1">
      <alignment horizontal="left"/>
      <protection locked="0"/>
    </xf>
    <xf numFmtId="0" fontId="7" fillId="3" borderId="0" xfId="0" applyFont="1" applyFill="1" applyAlignment="1" applyProtection="1">
      <alignment horizontal="left"/>
      <protection locked="0"/>
    </xf>
    <xf numFmtId="15" fontId="7" fillId="3" borderId="0" xfId="0" applyNumberFormat="1" applyFont="1" applyFill="1" applyAlignment="1" applyProtection="1">
      <alignment horizontal="left"/>
      <protection locked="0"/>
    </xf>
    <xf numFmtId="167" fontId="7" fillId="2" borderId="12" xfId="0" applyNumberFormat="1" applyFont="1" applyFill="1" applyBorder="1" applyAlignment="1">
      <alignment horizontal="center"/>
    </xf>
    <xf numFmtId="167" fontId="7" fillId="2" borderId="17" xfId="0" applyNumberFormat="1" applyFont="1" applyFill="1" applyBorder="1" applyAlignment="1">
      <alignment horizontal="center"/>
    </xf>
    <xf numFmtId="167" fontId="7" fillId="2" borderId="20" xfId="0" applyNumberFormat="1" applyFont="1" applyFill="1" applyBorder="1" applyAlignment="1">
      <alignment horizontal="center"/>
    </xf>
    <xf numFmtId="167" fontId="7" fillId="2" borderId="13" xfId="0" applyNumberFormat="1" applyFont="1" applyFill="1" applyBorder="1" applyAlignment="1">
      <alignment horizontal="center"/>
    </xf>
    <xf numFmtId="167" fontId="7" fillId="2" borderId="9" xfId="0" applyNumberFormat="1" applyFont="1" applyFill="1" applyBorder="1" applyAlignment="1">
      <alignment horizontal="center"/>
    </xf>
    <xf numFmtId="167" fontId="7" fillId="2" borderId="21" xfId="0" applyNumberFormat="1" applyFont="1" applyFill="1" applyBorder="1" applyAlignment="1">
      <alignment horizontal="center"/>
    </xf>
    <xf numFmtId="0" fontId="7" fillId="2" borderId="3" xfId="0" applyFont="1" applyFill="1" applyBorder="1"/>
    <xf numFmtId="0" fontId="8" fillId="2" borderId="6" xfId="0" applyFont="1" applyFill="1" applyBorder="1"/>
    <xf numFmtId="0" fontId="7" fillId="2" borderId="3" xfId="0" applyFont="1" applyFill="1" applyBorder="1"/>
    <xf numFmtId="0" fontId="7" fillId="2" borderId="6" xfId="0" applyFont="1" applyFill="1" applyBorder="1"/>
    <xf numFmtId="0" fontId="7" fillId="2" borderId="5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0" fontId="7" fillId="2" borderId="10" xfId="0" applyNumberFormat="1" applyFont="1" applyFill="1" applyBorder="1" applyAlignment="1">
      <alignment horizontal="center" vertical="center"/>
    </xf>
    <xf numFmtId="10" fontId="7" fillId="2" borderId="16" xfId="0" applyNumberFormat="1" applyFont="1" applyFill="1" applyBorder="1" applyAlignment="1">
      <alignment horizontal="center" vertical="center"/>
    </xf>
    <xf numFmtId="10" fontId="7" fillId="2" borderId="34" xfId="0" applyNumberFormat="1" applyFont="1" applyFill="1" applyBorder="1" applyAlignment="1">
      <alignment horizontal="center" vertical="center"/>
    </xf>
    <xf numFmtId="2" fontId="7" fillId="2" borderId="30" xfId="0" applyNumberFormat="1" applyFont="1" applyFill="1" applyBorder="1" applyAlignment="1">
      <alignment horizontal="center"/>
    </xf>
    <xf numFmtId="2" fontId="7" fillId="2" borderId="45" xfId="0" applyNumberFormat="1" applyFont="1" applyFill="1" applyBorder="1" applyAlignment="1">
      <alignment horizontal="center"/>
    </xf>
    <xf numFmtId="2" fontId="7" fillId="2" borderId="29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7" fillId="3" borderId="0" xfId="0" applyFont="1" applyFill="1" applyProtection="1">
      <protection locked="0"/>
    </xf>
    <xf numFmtId="0" fontId="8" fillId="2" borderId="16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" fontId="8" fillId="4" borderId="36" xfId="0" applyNumberFormat="1" applyFont="1" applyFill="1" applyBorder="1" applyAlignment="1">
      <alignment horizontal="center"/>
    </xf>
    <xf numFmtId="0" fontId="7" fillId="2" borderId="39" xfId="0" applyFont="1" applyFill="1" applyBorder="1" applyAlignment="1">
      <alignment horizontal="right"/>
    </xf>
    <xf numFmtId="0" fontId="7" fillId="2" borderId="11" xfId="0" applyFont="1" applyFill="1" applyBorder="1" applyAlignment="1">
      <alignment horizontal="right"/>
    </xf>
    <xf numFmtId="2" fontId="7" fillId="4" borderId="35" xfId="0" applyNumberFormat="1" applyFont="1" applyFill="1" applyBorder="1" applyAlignment="1">
      <alignment horizontal="center"/>
    </xf>
    <xf numFmtId="2" fontId="7" fillId="5" borderId="35" xfId="0" applyNumberFormat="1" applyFont="1" applyFill="1" applyBorder="1" applyAlignment="1">
      <alignment horizontal="center"/>
    </xf>
    <xf numFmtId="0" fontId="7" fillId="2" borderId="36" xfId="0" applyFont="1" applyFill="1" applyBorder="1" applyAlignment="1">
      <alignment horizontal="right"/>
    </xf>
    <xf numFmtId="2" fontId="7" fillId="5" borderId="13" xfId="0" applyNumberFormat="1" applyFont="1" applyFill="1" applyBorder="1" applyAlignment="1">
      <alignment horizontal="center"/>
    </xf>
    <xf numFmtId="0" fontId="7" fillId="2" borderId="26" xfId="0" applyFont="1" applyFill="1" applyBorder="1" applyAlignment="1">
      <alignment horizontal="right"/>
    </xf>
    <xf numFmtId="167" fontId="8" fillId="5" borderId="26" xfId="0" applyNumberFormat="1" applyFont="1" applyFill="1" applyBorder="1" applyAlignment="1">
      <alignment horizontal="center"/>
    </xf>
    <xf numFmtId="0" fontId="7" fillId="2" borderId="31" xfId="0" applyFont="1" applyFill="1" applyBorder="1" applyAlignment="1">
      <alignment horizontal="right"/>
    </xf>
    <xf numFmtId="2" fontId="7" fillId="5" borderId="35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0" fontId="7" fillId="2" borderId="3" xfId="0" applyFont="1" applyFill="1" applyBorder="1" applyProtection="1">
      <protection locked="0"/>
    </xf>
    <xf numFmtId="0" fontId="8" fillId="2" borderId="6" xfId="0" applyFont="1" applyFill="1" applyBorder="1" applyProtection="1">
      <protection locked="0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165" fontId="8" fillId="2" borderId="0" xfId="0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2" fontId="10" fillId="3" borderId="0" xfId="0" applyNumberFormat="1" applyFont="1" applyFill="1" applyAlignment="1" applyProtection="1">
      <alignment horizontal="center"/>
      <protection locked="0"/>
    </xf>
    <xf numFmtId="0" fontId="10" fillId="3" borderId="10" xfId="0" applyFont="1" applyFill="1" applyBorder="1" applyAlignment="1" applyProtection="1">
      <alignment horizontal="center"/>
      <protection locked="0"/>
    </xf>
    <xf numFmtId="0" fontId="10" fillId="3" borderId="16" xfId="0" applyFont="1" applyFill="1" applyBorder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19" xfId="0" applyFont="1" applyFill="1" applyBorder="1" applyAlignment="1" applyProtection="1">
      <alignment horizontal="center"/>
      <protection locked="0"/>
    </xf>
    <xf numFmtId="0" fontId="10" fillId="3" borderId="38" xfId="0" applyFont="1" applyFill="1" applyBorder="1" applyAlignment="1" applyProtection="1">
      <alignment horizontal="center"/>
      <protection locked="0"/>
    </xf>
    <xf numFmtId="0" fontId="10" fillId="3" borderId="26" xfId="0" applyFont="1" applyFill="1" applyBorder="1" applyAlignment="1" applyProtection="1">
      <alignment horizontal="center"/>
      <protection locked="0"/>
    </xf>
    <xf numFmtId="0" fontId="10" fillId="3" borderId="35" xfId="0" applyFont="1" applyFill="1" applyBorder="1" applyAlignment="1" applyProtection="1">
      <alignment horizontal="center"/>
      <protection locked="0"/>
    </xf>
    <xf numFmtId="2" fontId="9" fillId="2" borderId="34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10" fillId="3" borderId="31" xfId="0" applyFont="1" applyFill="1" applyBorder="1" applyAlignment="1" applyProtection="1">
      <alignment horizontal="center"/>
      <protection locked="0"/>
    </xf>
    <xf numFmtId="10" fontId="10" fillId="5" borderId="18" xfId="0" applyNumberFormat="1" applyFont="1" applyFill="1" applyBorder="1" applyAlignment="1">
      <alignment horizontal="center"/>
    </xf>
    <xf numFmtId="10" fontId="10" fillId="4" borderId="52" xfId="0" applyNumberFormat="1" applyFont="1" applyFill="1" applyBorder="1" applyAlignment="1">
      <alignment horizontal="center"/>
    </xf>
    <xf numFmtId="0" fontId="10" fillId="5" borderId="51" xfId="0" applyFont="1" applyFill="1" applyBorder="1" applyAlignment="1">
      <alignment horizontal="center"/>
    </xf>
    <xf numFmtId="167" fontId="10" fillId="3" borderId="19" xfId="0" applyNumberFormat="1" applyFont="1" applyFill="1" applyBorder="1" applyAlignment="1" applyProtection="1">
      <alignment horizontal="center"/>
      <protection locked="0"/>
    </xf>
    <xf numFmtId="10" fontId="10" fillId="5" borderId="35" xfId="0" applyNumberFormat="1" applyFont="1" applyFill="1" applyBorder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5" borderId="28" xfId="0" applyFont="1" applyFill="1" applyBorder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7" fillId="2" borderId="0" xfId="0" applyFont="1" applyFill="1" applyProtection="1">
      <protection locked="0"/>
    </xf>
    <xf numFmtId="171" fontId="8" fillId="2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/>
    <xf numFmtId="0" fontId="7" fillId="2" borderId="0" xfId="0" applyFont="1" applyFill="1" applyAlignment="1">
      <alignment horizontal="left"/>
    </xf>
    <xf numFmtId="15" fontId="7" fillId="2" borderId="0" xfId="0" applyNumberFormat="1" applyFont="1" applyFill="1" applyAlignment="1">
      <alignment horizontal="left"/>
    </xf>
    <xf numFmtId="2" fontId="8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right"/>
    </xf>
    <xf numFmtId="10" fontId="7" fillId="4" borderId="27" xfId="0" applyNumberFormat="1" applyFont="1" applyFill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8" fillId="2" borderId="30" xfId="0" applyFont="1" applyFill="1" applyBorder="1" applyAlignment="1">
      <alignment horizontal="center"/>
    </xf>
    <xf numFmtId="2" fontId="8" fillId="2" borderId="30" xfId="0" applyNumberFormat="1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45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167" fontId="8" fillId="4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2" fontId="7" fillId="2" borderId="12" xfId="0" applyNumberFormat="1" applyFont="1" applyFill="1" applyBorder="1" applyAlignment="1">
      <alignment horizontal="center"/>
    </xf>
    <xf numFmtId="10" fontId="7" fillId="2" borderId="13" xfId="0" applyNumberFormat="1" applyFont="1" applyFill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2" fontId="7" fillId="2" borderId="20" xfId="0" applyNumberFormat="1" applyFont="1" applyFill="1" applyBorder="1" applyAlignment="1">
      <alignment horizontal="center"/>
    </xf>
    <xf numFmtId="167" fontId="7" fillId="2" borderId="1" xfId="0" applyNumberFormat="1" applyFont="1" applyFill="1" applyBorder="1" applyAlignment="1">
      <alignment horizontal="right"/>
    </xf>
    <xf numFmtId="0" fontId="7" fillId="2" borderId="2" xfId="0" applyFont="1" applyFill="1" applyBorder="1"/>
    <xf numFmtId="0" fontId="7" fillId="2" borderId="49" xfId="0" applyFont="1" applyFill="1" applyBorder="1" applyAlignment="1">
      <alignment horizontal="center"/>
    </xf>
    <xf numFmtId="0" fontId="7" fillId="2" borderId="50" xfId="0" applyFont="1" applyFill="1" applyBorder="1" applyAlignment="1">
      <alignment horizontal="right"/>
    </xf>
    <xf numFmtId="0" fontId="8" fillId="2" borderId="12" xfId="0" applyFont="1" applyFill="1" applyBorder="1" applyAlignment="1">
      <alignment horizontal="center"/>
    </xf>
    <xf numFmtId="2" fontId="7" fillId="2" borderId="7" xfId="0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7" fillId="2" borderId="9" xfId="0" applyNumberFormat="1" applyFont="1" applyFill="1" applyBorder="1" applyAlignment="1">
      <alignment horizontal="center"/>
    </xf>
    <xf numFmtId="10" fontId="7" fillId="2" borderId="21" xfId="0" applyNumberFormat="1" applyFont="1" applyFill="1" applyBorder="1" applyAlignment="1">
      <alignment horizontal="center"/>
    </xf>
    <xf numFmtId="0" fontId="7" fillId="2" borderId="4" xfId="0" applyFont="1" applyFill="1" applyBorder="1"/>
    <xf numFmtId="0" fontId="7" fillId="3" borderId="0" xfId="0" applyFont="1" applyFill="1" applyAlignment="1" applyProtection="1">
      <alignment horizontal="left"/>
      <protection locked="0"/>
    </xf>
    <xf numFmtId="15" fontId="7" fillId="3" borderId="0" xfId="0" applyNumberFormat="1" applyFont="1" applyFill="1" applyAlignment="1" applyProtection="1">
      <alignment horizontal="left"/>
      <protection locked="0"/>
    </xf>
    <xf numFmtId="167" fontId="7" fillId="2" borderId="12" xfId="0" applyNumberFormat="1" applyFont="1" applyFill="1" applyBorder="1" applyAlignment="1">
      <alignment horizontal="center"/>
    </xf>
    <xf numFmtId="167" fontId="7" fillId="2" borderId="17" xfId="0" applyNumberFormat="1" applyFont="1" applyFill="1" applyBorder="1" applyAlignment="1">
      <alignment horizontal="center"/>
    </xf>
    <xf numFmtId="167" fontId="7" fillId="2" borderId="20" xfId="0" applyNumberFormat="1" applyFont="1" applyFill="1" applyBorder="1" applyAlignment="1">
      <alignment horizontal="center"/>
    </xf>
    <xf numFmtId="0" fontId="8" fillId="2" borderId="6" xfId="0" applyFont="1" applyFill="1" applyBorder="1"/>
    <xf numFmtId="0" fontId="7" fillId="2" borderId="3" xfId="0" applyFont="1" applyFill="1" applyBorder="1"/>
    <xf numFmtId="0" fontId="7" fillId="2" borderId="6" xfId="0" applyFont="1" applyFill="1" applyBorder="1"/>
    <xf numFmtId="0" fontId="7" fillId="2" borderId="5" xfId="0" applyFont="1" applyFill="1" applyBorder="1" applyAlignment="1">
      <alignment horizontal="center"/>
    </xf>
    <xf numFmtId="2" fontId="7" fillId="2" borderId="30" xfId="0" applyNumberFormat="1" applyFont="1" applyFill="1" applyBorder="1" applyAlignment="1">
      <alignment horizontal="center"/>
    </xf>
    <xf numFmtId="2" fontId="7" fillId="2" borderId="45" xfId="0" applyNumberFormat="1" applyFont="1" applyFill="1" applyBorder="1" applyAlignment="1">
      <alignment horizontal="center"/>
    </xf>
    <xf numFmtId="2" fontId="7" fillId="2" borderId="29" xfId="0" applyNumberFormat="1" applyFont="1" applyFill="1" applyBorder="1" applyAlignment="1">
      <alignment horizontal="center"/>
    </xf>
    <xf numFmtId="0" fontId="7" fillId="3" borderId="0" xfId="0" applyFont="1" applyFill="1" applyProtection="1">
      <protection locked="0"/>
    </xf>
    <xf numFmtId="0" fontId="8" fillId="2" borderId="16" xfId="0" applyFont="1" applyFill="1" applyBorder="1" applyAlignment="1">
      <alignment horizontal="center"/>
    </xf>
    <xf numFmtId="0" fontId="7" fillId="2" borderId="36" xfId="0" applyFont="1" applyFill="1" applyBorder="1" applyAlignment="1">
      <alignment horizontal="right"/>
    </xf>
    <xf numFmtId="0" fontId="7" fillId="2" borderId="26" xfId="0" applyFont="1" applyFill="1" applyBorder="1" applyAlignment="1">
      <alignment horizontal="right"/>
    </xf>
    <xf numFmtId="167" fontId="8" fillId="5" borderId="26" xfId="0" applyNumberFormat="1" applyFont="1" applyFill="1" applyBorder="1" applyAlignment="1">
      <alignment horizontal="center"/>
    </xf>
    <xf numFmtId="0" fontId="7" fillId="2" borderId="31" xfId="0" applyFont="1" applyFill="1" applyBorder="1" applyAlignment="1">
      <alignment horizontal="right"/>
    </xf>
    <xf numFmtId="2" fontId="7" fillId="5" borderId="13" xfId="0" applyNumberFormat="1" applyFont="1" applyFill="1" applyBorder="1" applyAlignment="1">
      <alignment horizontal="center"/>
    </xf>
    <xf numFmtId="0" fontId="7" fillId="2" borderId="3" xfId="0" applyFont="1" applyFill="1" applyBorder="1" applyProtection="1">
      <protection locked="0"/>
    </xf>
    <xf numFmtId="0" fontId="8" fillId="2" borderId="6" xfId="0" applyFont="1" applyFill="1" applyBorder="1" applyProtection="1">
      <protection locked="0"/>
    </xf>
    <xf numFmtId="165" fontId="8" fillId="2" borderId="0" xfId="0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2" fontId="10" fillId="3" borderId="0" xfId="0" applyNumberFormat="1" applyFont="1" applyFill="1" applyAlignment="1" applyProtection="1">
      <alignment horizontal="center"/>
      <protection locked="0"/>
    </xf>
    <xf numFmtId="0" fontId="10" fillId="3" borderId="10" xfId="0" applyFont="1" applyFill="1" applyBorder="1" applyAlignment="1" applyProtection="1">
      <alignment horizontal="center"/>
      <protection locked="0"/>
    </xf>
    <xf numFmtId="0" fontId="10" fillId="3" borderId="16" xfId="0" applyFont="1" applyFill="1" applyBorder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19" xfId="0" applyFont="1" applyFill="1" applyBorder="1" applyAlignment="1" applyProtection="1">
      <alignment horizontal="center"/>
      <protection locked="0"/>
    </xf>
    <xf numFmtId="0" fontId="10" fillId="3" borderId="38" xfId="0" applyFont="1" applyFill="1" applyBorder="1" applyAlignment="1" applyProtection="1">
      <alignment horizontal="center"/>
      <protection locked="0"/>
    </xf>
    <xf numFmtId="0" fontId="10" fillId="3" borderId="26" xfId="0" applyFont="1" applyFill="1" applyBorder="1" applyAlignment="1" applyProtection="1">
      <alignment horizontal="center"/>
      <protection locked="0"/>
    </xf>
    <xf numFmtId="0" fontId="10" fillId="3" borderId="35" xfId="0" applyFont="1" applyFill="1" applyBorder="1" applyAlignment="1" applyProtection="1">
      <alignment horizontal="center"/>
      <protection locked="0"/>
    </xf>
    <xf numFmtId="2" fontId="9" fillId="2" borderId="34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10" fillId="3" borderId="31" xfId="0" applyFont="1" applyFill="1" applyBorder="1" applyAlignment="1" applyProtection="1">
      <alignment horizontal="center"/>
      <protection locked="0"/>
    </xf>
    <xf numFmtId="10" fontId="10" fillId="5" borderId="18" xfId="0" applyNumberFormat="1" applyFont="1" applyFill="1" applyBorder="1" applyAlignment="1">
      <alignment horizontal="center"/>
    </xf>
    <xf numFmtId="167" fontId="10" fillId="3" borderId="19" xfId="0" applyNumberFormat="1" applyFont="1" applyFill="1" applyBorder="1" applyAlignment="1" applyProtection="1">
      <alignment horizontal="center"/>
      <protection locked="0"/>
    </xf>
    <xf numFmtId="10" fontId="10" fillId="5" borderId="35" xfId="0" applyNumberFormat="1" applyFont="1" applyFill="1" applyBorder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5" borderId="28" xfId="0" applyFont="1" applyFill="1" applyBorder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7" fillId="2" borderId="0" xfId="0" applyFont="1" applyFill="1" applyProtection="1">
      <protection locked="0"/>
    </xf>
    <xf numFmtId="171" fontId="8" fillId="2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left"/>
      <protection locked="0"/>
    </xf>
    <xf numFmtId="0" fontId="8" fillId="2" borderId="25" xfId="0" applyFont="1" applyFill="1" applyBorder="1" applyAlignment="1">
      <alignment horizontal="center"/>
    </xf>
    <xf numFmtId="0" fontId="16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1" fillId="2" borderId="0" xfId="0" applyFont="1" applyFill="1"/>
    <xf numFmtId="0" fontId="13" fillId="2" borderId="0" xfId="0" applyFont="1" applyFill="1" applyAlignment="1">
      <alignment horizontal="left" vertical="center" wrapText="1"/>
    </xf>
    <xf numFmtId="0" fontId="7" fillId="2" borderId="0" xfId="0" applyFont="1" applyFill="1"/>
    <xf numFmtId="0" fontId="8" fillId="2" borderId="0" xfId="0" applyFont="1" applyFill="1" applyAlignment="1">
      <alignment horizontal="center" wrapText="1"/>
    </xf>
    <xf numFmtId="10" fontId="7" fillId="2" borderId="0" xfId="0" applyNumberFormat="1" applyFont="1" applyFill="1" applyAlignment="1">
      <alignment horizontal="center"/>
    </xf>
    <xf numFmtId="10" fontId="7" fillId="2" borderId="30" xfId="0" applyNumberFormat="1" applyFont="1" applyFill="1" applyBorder="1" applyAlignment="1">
      <alignment horizontal="center" vertical="center"/>
    </xf>
    <xf numFmtId="10" fontId="7" fillId="2" borderId="45" xfId="0" applyNumberFormat="1" applyFont="1" applyFill="1" applyBorder="1" applyAlignment="1">
      <alignment horizontal="center" vertical="center"/>
    </xf>
    <xf numFmtId="10" fontId="7" fillId="2" borderId="29" xfId="0" applyNumberFormat="1" applyFont="1" applyFill="1" applyBorder="1" applyAlignment="1">
      <alignment horizontal="center" vertical="center"/>
    </xf>
    <xf numFmtId="10" fontId="7" fillId="2" borderId="10" xfId="0" applyNumberFormat="1" applyFont="1" applyFill="1" applyBorder="1" applyAlignment="1">
      <alignment horizontal="center" vertical="center"/>
    </xf>
    <xf numFmtId="10" fontId="7" fillId="2" borderId="16" xfId="0" applyNumberFormat="1" applyFont="1" applyFill="1" applyBorder="1" applyAlignment="1">
      <alignment horizontal="center" vertical="center"/>
    </xf>
    <xf numFmtId="10" fontId="7" fillId="2" borderId="34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2" fillId="2" borderId="0" xfId="0" applyFont="1" applyFill="1"/>
    <xf numFmtId="0" fontId="17" fillId="2" borderId="0" xfId="0" applyFont="1" applyFill="1"/>
    <xf numFmtId="0" fontId="7" fillId="2" borderId="7" xfId="0" applyFont="1" applyFill="1" applyBorder="1" applyAlignment="1">
      <alignment horizontal="right"/>
    </xf>
    <xf numFmtId="0" fontId="7" fillId="2" borderId="8" xfId="0" applyFont="1" applyFill="1" applyBorder="1" applyAlignment="1">
      <alignment horizontal="right"/>
    </xf>
    <xf numFmtId="0" fontId="8" fillId="2" borderId="5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7" fillId="2" borderId="46" xfId="0" applyFont="1" applyFill="1" applyBorder="1" applyAlignment="1">
      <alignment horizontal="center"/>
    </xf>
    <xf numFmtId="167" fontId="7" fillId="2" borderId="13" xfId="0" applyNumberFormat="1" applyFont="1" applyFill="1" applyBorder="1" applyAlignment="1">
      <alignment horizontal="center"/>
    </xf>
    <xf numFmtId="167" fontId="7" fillId="2" borderId="9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67" fontId="7" fillId="2" borderId="2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39" xfId="0" applyFont="1" applyFill="1" applyBorder="1" applyAlignment="1">
      <alignment horizontal="right"/>
    </xf>
    <xf numFmtId="0" fontId="7" fillId="2" borderId="11" xfId="0" applyFont="1" applyFill="1" applyBorder="1" applyAlignment="1">
      <alignment horizontal="right"/>
    </xf>
    <xf numFmtId="2" fontId="7" fillId="4" borderId="35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2" fontId="7" fillId="4" borderId="27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7" fillId="5" borderId="27" xfId="0" applyNumberFormat="1" applyFont="1" applyFill="1" applyBorder="1" applyAlignment="1">
      <alignment horizontal="center"/>
    </xf>
    <xf numFmtId="2" fontId="7" fillId="4" borderId="28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7" fillId="5" borderId="35" xfId="0" applyNumberFormat="1" applyFont="1" applyFill="1" applyBorder="1" applyAlignment="1">
      <alignment horizontal="center"/>
    </xf>
    <xf numFmtId="1" fontId="7" fillId="2" borderId="0" xfId="0" applyNumberFormat="1" applyFont="1" applyFill="1" applyAlignment="1">
      <alignment horizontal="center"/>
    </xf>
    <xf numFmtId="167" fontId="7" fillId="2" borderId="0" xfId="0" applyNumberFormat="1" applyFont="1" applyFill="1" applyAlignment="1">
      <alignment horizontal="center"/>
    </xf>
    <xf numFmtId="0" fontId="7" fillId="2" borderId="48" xfId="0" applyFont="1" applyFill="1" applyBorder="1" applyAlignment="1">
      <alignment horizontal="right"/>
    </xf>
    <xf numFmtId="2" fontId="2" fillId="2" borderId="0" xfId="0" applyNumberFormat="1" applyFont="1" applyFill="1" applyAlignment="1">
      <alignment horizontal="center"/>
    </xf>
    <xf numFmtId="0" fontId="7" fillId="2" borderId="27" xfId="0" applyFont="1" applyFill="1" applyBorder="1" applyAlignment="1">
      <alignment horizontal="right"/>
    </xf>
    <xf numFmtId="10" fontId="8" fillId="4" borderId="27" xfId="0" applyNumberFormat="1" applyFont="1" applyFill="1" applyBorder="1" applyAlignment="1">
      <alignment horizontal="center"/>
    </xf>
    <xf numFmtId="0" fontId="7" fillId="2" borderId="28" xfId="0" applyFont="1" applyFill="1" applyBorder="1" applyAlignment="1">
      <alignment horizontal="right"/>
    </xf>
    <xf numFmtId="0" fontId="8" fillId="5" borderId="28" xfId="0" applyFont="1" applyFill="1" applyBorder="1" applyAlignment="1">
      <alignment horizontal="center"/>
    </xf>
    <xf numFmtId="0" fontId="3" fillId="2" borderId="0" xfId="0" applyFont="1" applyFill="1"/>
    <xf numFmtId="0" fontId="8" fillId="2" borderId="33" xfId="0" applyFont="1" applyFill="1" applyBorder="1"/>
    <xf numFmtId="0" fontId="8" fillId="2" borderId="10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2" fontId="7" fillId="2" borderId="16" xfId="0" applyNumberFormat="1" applyFont="1" applyFill="1" applyBorder="1" applyAlignment="1">
      <alignment horizontal="center"/>
    </xf>
    <xf numFmtId="167" fontId="8" fillId="2" borderId="0" xfId="0" applyNumberFormat="1" applyFont="1" applyFill="1" applyAlignment="1">
      <alignment horizontal="center"/>
    </xf>
    <xf numFmtId="0" fontId="7" fillId="2" borderId="8" xfId="0" applyFont="1" applyFill="1" applyBorder="1"/>
    <xf numFmtId="0" fontId="7" fillId="2" borderId="31" xfId="0" applyFont="1" applyFill="1" applyBorder="1"/>
    <xf numFmtId="167" fontId="8" fillId="4" borderId="24" xfId="0" applyNumberFormat="1" applyFont="1" applyFill="1" applyBorder="1" applyAlignment="1">
      <alignment horizontal="center"/>
    </xf>
    <xf numFmtId="0" fontId="10" fillId="5" borderId="51" xfId="0" applyFont="1" applyFill="1" applyBorder="1" applyAlignment="1">
      <alignment horizontal="center"/>
    </xf>
    <xf numFmtId="10" fontId="10" fillId="4" borderId="52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43" xfId="0" applyFont="1" applyFill="1" applyBorder="1" applyAlignment="1">
      <alignment horizontal="center"/>
    </xf>
    <xf numFmtId="0" fontId="8" fillId="2" borderId="4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left" vertical="center" wrapText="1"/>
    </xf>
    <xf numFmtId="0" fontId="13" fillId="2" borderId="41" xfId="0" applyFont="1" applyFill="1" applyBorder="1" applyAlignment="1">
      <alignment horizontal="left" vertical="center" wrapText="1"/>
    </xf>
    <xf numFmtId="0" fontId="13" fillId="2" borderId="42" xfId="0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31" xfId="0" applyFont="1" applyFill="1" applyBorder="1" applyAlignment="1">
      <alignment horizontal="left" vertical="center" wrapText="1"/>
    </xf>
    <xf numFmtId="0" fontId="13" fillId="2" borderId="34" xfId="0" applyFont="1" applyFill="1" applyBorder="1" applyAlignment="1">
      <alignment horizontal="left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13" fillId="2" borderId="40" xfId="0" applyFont="1" applyFill="1" applyBorder="1" applyAlignment="1">
      <alignment horizontal="justify" vertical="center" wrapText="1"/>
    </xf>
    <xf numFmtId="0" fontId="13" fillId="2" borderId="41" xfId="0" applyFont="1" applyFill="1" applyBorder="1" applyAlignment="1">
      <alignment horizontal="justify" vertical="center" wrapText="1"/>
    </xf>
    <xf numFmtId="0" fontId="13" fillId="2" borderId="42" xfId="0" applyFont="1" applyFill="1" applyBorder="1" applyAlignment="1">
      <alignment horizontal="justify" vertical="center" wrapText="1"/>
    </xf>
    <xf numFmtId="0" fontId="8" fillId="2" borderId="0" xfId="0" applyFont="1" applyFill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2" fontId="10" fillId="3" borderId="45" xfId="0" applyNumberFormat="1" applyFont="1" applyFill="1" applyBorder="1" applyAlignment="1" applyProtection="1">
      <alignment horizontal="center" vertical="center"/>
      <protection locked="0"/>
    </xf>
    <xf numFmtId="2" fontId="10" fillId="3" borderId="29" xfId="0" applyNumberFormat="1" applyFont="1" applyFill="1" applyBorder="1" applyAlignment="1" applyProtection="1">
      <alignment horizontal="center" vertical="center"/>
      <protection locked="0"/>
    </xf>
    <xf numFmtId="0" fontId="13" fillId="2" borderId="5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171" fontId="5" fillId="2" borderId="30" xfId="0" applyNumberFormat="1" applyFont="1" applyFill="1" applyBorder="1" applyAlignment="1">
      <alignment horizontal="center" vertical="center"/>
    </xf>
    <xf numFmtId="171" fontId="5" fillId="2" borderId="29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0" fillId="2" borderId="40" xfId="0" applyFont="1" applyFill="1" applyBorder="1" applyAlignment="1">
      <alignment horizontal="center" wrapText="1"/>
    </xf>
    <xf numFmtId="0" fontId="20" fillId="2" borderId="41" xfId="0" applyFont="1" applyFill="1" applyBorder="1" applyAlignment="1">
      <alignment horizontal="center" wrapText="1"/>
    </xf>
    <xf numFmtId="0" fontId="20" fillId="2" borderId="42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8" fillId="2" borderId="25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3" fillId="2" borderId="34" xfId="0" applyFont="1" applyFill="1" applyBorder="1" applyAlignment="1">
      <alignment horizontal="center" vertical="center" wrapText="1"/>
    </xf>
    <xf numFmtId="0" fontId="22" fillId="2" borderId="40" xfId="0" applyFont="1" applyFill="1" applyBorder="1" applyAlignment="1">
      <alignment horizontal="center"/>
    </xf>
    <xf numFmtId="0" fontId="22" fillId="2" borderId="41" xfId="0" applyFont="1" applyFill="1" applyBorder="1" applyAlignment="1">
      <alignment horizontal="center"/>
    </xf>
    <xf numFmtId="0" fontId="22" fillId="2" borderId="42" xfId="0" applyFont="1" applyFill="1" applyBorder="1" applyAlignment="1">
      <alignment horizontal="center"/>
    </xf>
    <xf numFmtId="0" fontId="8" fillId="3" borderId="0" xfId="0" applyFont="1" applyFill="1" applyAlignment="1" applyProtection="1">
      <alignment horizontal="left"/>
      <protection locked="0"/>
    </xf>
    <xf numFmtId="167" fontId="8" fillId="4" borderId="37" xfId="0" applyNumberFormat="1" applyFont="1" applyFill="1" applyBorder="1" applyAlignment="1">
      <alignment horizontal="center"/>
    </xf>
    <xf numFmtId="167" fontId="8" fillId="4" borderId="47" xfId="0" applyNumberFormat="1" applyFont="1" applyFill="1" applyBorder="1" applyAlignment="1">
      <alignment horizontal="center"/>
    </xf>
    <xf numFmtId="167" fontId="8" fillId="4" borderId="29" xfId="0" applyNumberFormat="1" applyFont="1" applyFill="1" applyBorder="1" applyAlignment="1">
      <alignment horizontal="center"/>
    </xf>
    <xf numFmtId="167" fontId="10" fillId="3" borderId="17" xfId="0" applyNumberFormat="1" applyFont="1" applyFill="1" applyBorder="1" applyAlignment="1" applyProtection="1">
      <alignment horizontal="center"/>
      <protection locked="0"/>
    </xf>
    <xf numFmtId="167" fontId="10" fillId="3" borderId="20" xfId="0" applyNumberFormat="1" applyFont="1" applyFill="1" applyBorder="1" applyAlignment="1" applyProtection="1">
      <alignment horizontal="center"/>
      <protection locked="0"/>
    </xf>
    <xf numFmtId="0" fontId="21" fillId="6" borderId="0" xfId="0" applyFont="1" applyFill="1" applyAlignment="1" applyProtection="1">
      <alignment horizontal="center"/>
      <protection locked="0"/>
    </xf>
    <xf numFmtId="167" fontId="8" fillId="4" borderId="36" xfId="0" applyNumberFormat="1" applyFont="1" applyFill="1" applyBorder="1" applyAlignment="1">
      <alignment horizontal="center"/>
    </xf>
    <xf numFmtId="167" fontId="8" fillId="4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D19" sqref="D1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84" t="s">
        <v>14</v>
      </c>
      <c r="B11" s="385"/>
      <c r="C11" s="385"/>
      <c r="D11" s="385"/>
      <c r="E11" s="385"/>
      <c r="F11" s="386"/>
      <c r="G11" s="44"/>
    </row>
    <row r="12" spans="1:7" ht="16.5" customHeight="1" x14ac:dyDescent="0.3">
      <c r="A12" s="383" t="s">
        <v>86</v>
      </c>
      <c r="B12" s="383"/>
      <c r="C12" s="383"/>
      <c r="D12" s="383"/>
      <c r="E12" s="383"/>
      <c r="F12" s="383"/>
      <c r="G12" s="43"/>
    </row>
    <row r="14" spans="1:7" ht="16.5" customHeight="1" x14ac:dyDescent="0.3">
      <c r="A14" s="388" t="s">
        <v>16</v>
      </c>
      <c r="B14" s="388"/>
      <c r="C14" s="13" t="s">
        <v>2</v>
      </c>
    </row>
    <row r="15" spans="1:7" ht="16.5" customHeight="1" x14ac:dyDescent="0.3">
      <c r="A15" s="388" t="s">
        <v>17</v>
      </c>
      <c r="B15" s="388"/>
      <c r="C15" s="13" t="s">
        <v>4</v>
      </c>
    </row>
    <row r="16" spans="1:7" ht="16.5" customHeight="1" x14ac:dyDescent="0.3">
      <c r="A16" s="388" t="s">
        <v>18</v>
      </c>
      <c r="B16" s="388"/>
      <c r="C16" s="13" t="s">
        <v>104</v>
      </c>
    </row>
    <row r="17" spans="1:5" ht="16.5" customHeight="1" x14ac:dyDescent="0.3">
      <c r="A17" s="388" t="s">
        <v>19</v>
      </c>
      <c r="B17" s="388"/>
      <c r="C17" s="13" t="s">
        <v>105</v>
      </c>
    </row>
    <row r="18" spans="1:5" ht="16.5" customHeight="1" x14ac:dyDescent="0.3">
      <c r="A18" s="388" t="s">
        <v>20</v>
      </c>
      <c r="B18" s="388"/>
      <c r="C18" s="50" t="s">
        <v>5</v>
      </c>
    </row>
    <row r="19" spans="1:5" ht="16.5" customHeight="1" x14ac:dyDescent="0.3">
      <c r="A19" s="388" t="s">
        <v>21</v>
      </c>
      <c r="B19" s="388"/>
      <c r="C19" s="50" t="s">
        <v>106</v>
      </c>
    </row>
    <row r="20" spans="1:5" ht="16.5" customHeight="1" x14ac:dyDescent="0.3">
      <c r="A20" s="15"/>
      <c r="B20" s="15"/>
      <c r="C20" s="30"/>
    </row>
    <row r="21" spans="1:5" ht="16.5" customHeight="1" x14ac:dyDescent="0.3">
      <c r="A21" s="383" t="s">
        <v>0</v>
      </c>
      <c r="B21" s="383"/>
      <c r="C21" s="12" t="s">
        <v>87</v>
      </c>
      <c r="D21" s="19"/>
    </row>
    <row r="22" spans="1:5" ht="15.75" customHeight="1" x14ac:dyDescent="0.3">
      <c r="A22" s="387"/>
      <c r="B22" s="387"/>
      <c r="C22" s="10"/>
      <c r="D22" s="387"/>
      <c r="E22" s="387"/>
    </row>
    <row r="23" spans="1:5" ht="33.75" customHeight="1" x14ac:dyDescent="0.3">
      <c r="C23" s="39" t="s">
        <v>88</v>
      </c>
      <c r="D23" s="38" t="s">
        <v>89</v>
      </c>
      <c r="E23" s="5"/>
    </row>
    <row r="24" spans="1:5" ht="15.75" customHeight="1" x14ac:dyDescent="0.3">
      <c r="C24" s="48">
        <v>878.46</v>
      </c>
      <c r="D24" s="40">
        <f t="shared" ref="D24:D43" si="0">(C24-$C$46)/$C$46</f>
        <v>-1.2363167844633051E-2</v>
      </c>
      <c r="E24" s="6"/>
    </row>
    <row r="25" spans="1:5" ht="15.75" customHeight="1" x14ac:dyDescent="0.3">
      <c r="C25" s="48">
        <v>885.08</v>
      </c>
      <c r="D25" s="41">
        <f t="shared" si="0"/>
        <v>-4.9204205039817591E-3</v>
      </c>
      <c r="E25" s="6"/>
    </row>
    <row r="26" spans="1:5" ht="15.75" customHeight="1" x14ac:dyDescent="0.3">
      <c r="C26" s="48">
        <v>879.96</v>
      </c>
      <c r="D26" s="41">
        <f t="shared" si="0"/>
        <v>-1.0676744731192426E-2</v>
      </c>
      <c r="E26" s="6"/>
    </row>
    <row r="27" spans="1:5" ht="15.75" customHeight="1" x14ac:dyDescent="0.3">
      <c r="C27" s="48">
        <v>879.83</v>
      </c>
      <c r="D27" s="41">
        <f t="shared" si="0"/>
        <v>-1.0822901401023943E-2</v>
      </c>
      <c r="E27" s="6"/>
    </row>
    <row r="28" spans="1:5" ht="15.75" customHeight="1" x14ac:dyDescent="0.3">
      <c r="C28" s="48">
        <v>889.46</v>
      </c>
      <c r="D28" s="41">
        <f t="shared" si="0"/>
        <v>3.934987264857371E-6</v>
      </c>
      <c r="E28" s="6"/>
    </row>
    <row r="29" spans="1:5" ht="15.75" customHeight="1" x14ac:dyDescent="0.3">
      <c r="C29" s="48">
        <v>894.75</v>
      </c>
      <c r="D29" s="41">
        <f t="shared" si="0"/>
        <v>5.9513871673320829E-3</v>
      </c>
      <c r="E29" s="6"/>
    </row>
    <row r="30" spans="1:5" ht="15.75" customHeight="1" x14ac:dyDescent="0.3">
      <c r="C30" s="48">
        <v>883.77</v>
      </c>
      <c r="D30" s="41">
        <f t="shared" si="0"/>
        <v>-6.3932300230533038E-3</v>
      </c>
      <c r="E30" s="6"/>
    </row>
    <row r="31" spans="1:5" ht="15.75" customHeight="1" x14ac:dyDescent="0.3">
      <c r="C31" s="48">
        <v>891.62</v>
      </c>
      <c r="D31" s="41">
        <f t="shared" si="0"/>
        <v>2.43238427061932E-3</v>
      </c>
      <c r="E31" s="6"/>
    </row>
    <row r="32" spans="1:5" ht="15.75" customHeight="1" x14ac:dyDescent="0.3">
      <c r="C32" s="48">
        <v>888.24</v>
      </c>
      <c r="D32" s="41">
        <f t="shared" si="0"/>
        <v>-1.3676891450002139E-3</v>
      </c>
      <c r="E32" s="6"/>
    </row>
    <row r="33" spans="1:7" ht="15.75" customHeight="1" x14ac:dyDescent="0.3">
      <c r="C33" s="48">
        <v>887.75</v>
      </c>
      <c r="D33" s="41">
        <f t="shared" si="0"/>
        <v>-1.9185873620574947E-3</v>
      </c>
      <c r="E33" s="6"/>
    </row>
    <row r="34" spans="1:7" ht="15.75" customHeight="1" x14ac:dyDescent="0.3">
      <c r="C34" s="48">
        <v>890.12</v>
      </c>
      <c r="D34" s="41">
        <f t="shared" si="0"/>
        <v>7.4596115717869601E-4</v>
      </c>
      <c r="E34" s="6"/>
    </row>
    <row r="35" spans="1:7" ht="15.75" customHeight="1" x14ac:dyDescent="0.3">
      <c r="C35" s="48">
        <v>894.74</v>
      </c>
      <c r="D35" s="41">
        <f t="shared" si="0"/>
        <v>5.9401443465758224E-3</v>
      </c>
      <c r="E35" s="6"/>
    </row>
    <row r="36" spans="1:7" ht="15.75" customHeight="1" x14ac:dyDescent="0.3">
      <c r="C36" s="48">
        <v>912.17</v>
      </c>
      <c r="D36" s="41">
        <f t="shared" si="0"/>
        <v>2.5536380924755814E-2</v>
      </c>
      <c r="E36" s="6"/>
    </row>
    <row r="37" spans="1:7" ht="15.75" customHeight="1" x14ac:dyDescent="0.3">
      <c r="C37" s="48">
        <v>897.64</v>
      </c>
      <c r="D37" s="41">
        <f t="shared" si="0"/>
        <v>9.2005623658943363E-3</v>
      </c>
      <c r="E37" s="6"/>
    </row>
    <row r="38" spans="1:7" ht="15.75" customHeight="1" x14ac:dyDescent="0.3">
      <c r="C38" s="48">
        <v>894.3</v>
      </c>
      <c r="D38" s="41">
        <f t="shared" si="0"/>
        <v>5.4454602332998448E-3</v>
      </c>
      <c r="E38" s="6"/>
    </row>
    <row r="39" spans="1:7" ht="15.75" customHeight="1" x14ac:dyDescent="0.3">
      <c r="C39" s="48">
        <v>892.26</v>
      </c>
      <c r="D39" s="41">
        <f t="shared" si="0"/>
        <v>3.1519247990206374E-3</v>
      </c>
      <c r="E39" s="6"/>
    </row>
    <row r="40" spans="1:7" ht="15.75" customHeight="1" x14ac:dyDescent="0.3">
      <c r="C40" s="48">
        <v>889.94</v>
      </c>
      <c r="D40" s="41">
        <f t="shared" si="0"/>
        <v>5.4359038356587746E-4</v>
      </c>
      <c r="E40" s="6"/>
    </row>
    <row r="41" spans="1:7" ht="15.75" customHeight="1" x14ac:dyDescent="0.3">
      <c r="C41" s="48">
        <v>871.54</v>
      </c>
      <c r="D41" s="41">
        <f t="shared" si="0"/>
        <v>-2.0143199807972544E-2</v>
      </c>
      <c r="E41" s="6"/>
    </row>
    <row r="42" spans="1:7" ht="15.75" customHeight="1" x14ac:dyDescent="0.3">
      <c r="C42" s="48">
        <v>884.25</v>
      </c>
      <c r="D42" s="41">
        <f t="shared" si="0"/>
        <v>-5.8535746267522832E-3</v>
      </c>
      <c r="E42" s="6"/>
    </row>
    <row r="43" spans="1:7" ht="16.5" customHeight="1" x14ac:dyDescent="0.3">
      <c r="C43" s="49">
        <v>903.25</v>
      </c>
      <c r="D43" s="42">
        <f t="shared" si="0"/>
        <v>1.5507784810162285E-2</v>
      </c>
      <c r="E43" s="6"/>
    </row>
    <row r="44" spans="1:7" ht="16.5" customHeight="1" x14ac:dyDescent="0.3">
      <c r="C44" s="7"/>
      <c r="D44" s="6"/>
      <c r="E44" s="8"/>
    </row>
    <row r="45" spans="1:7" ht="16.5" customHeight="1" x14ac:dyDescent="0.3">
      <c r="B45" s="35" t="s">
        <v>90</v>
      </c>
      <c r="C45" s="36">
        <f>SUM(C24:C44)</f>
        <v>17789.129999999997</v>
      </c>
      <c r="D45" s="31"/>
      <c r="E45" s="7"/>
    </row>
    <row r="46" spans="1:7" ht="17.25" customHeight="1" x14ac:dyDescent="0.3">
      <c r="B46" s="35" t="s">
        <v>60</v>
      </c>
      <c r="C46" s="37">
        <f>AVERAGE(C24:C44)</f>
        <v>889.45649999999989</v>
      </c>
      <c r="E46" s="9"/>
    </row>
    <row r="47" spans="1:7" ht="17.25" customHeight="1" x14ac:dyDescent="0.3">
      <c r="A47" s="13"/>
      <c r="B47" s="32"/>
      <c r="D47" s="11"/>
      <c r="E47" s="9"/>
    </row>
    <row r="48" spans="1:7" ht="33.75" customHeight="1" x14ac:dyDescent="0.3">
      <c r="B48" s="45" t="s">
        <v>60</v>
      </c>
      <c r="C48" s="38" t="s">
        <v>91</v>
      </c>
      <c r="D48" s="33"/>
      <c r="G48" s="11"/>
    </row>
    <row r="49" spans="1:6" ht="17.25" customHeight="1" x14ac:dyDescent="0.3">
      <c r="B49" s="381">
        <f>C46</f>
        <v>889.45649999999989</v>
      </c>
      <c r="C49" s="46">
        <f>-IF(C46&lt;=80,10%,IF(C46&lt;250,7.5%,5%))</f>
        <v>-0.05</v>
      </c>
      <c r="D49" s="34">
        <f>IF(C46&lt;=80,C46*0.9,IF(C46&lt;250,C46*0.925,C46*0.95))</f>
        <v>844.98367499999983</v>
      </c>
    </row>
    <row r="50" spans="1:6" ht="17.25" customHeight="1" x14ac:dyDescent="0.3">
      <c r="B50" s="382"/>
      <c r="C50" s="47">
        <f>IF(C46&lt;=80, 10%, IF(C46&lt;250, 7.5%, 5%))</f>
        <v>0.05</v>
      </c>
      <c r="D50" s="34">
        <f>IF(C46&lt;=80, C46*1.1, IF(C46&lt;250, C46*1.075, C46*1.05))</f>
        <v>933.92932499999995</v>
      </c>
    </row>
    <row r="51" spans="1:6" ht="16.5" customHeight="1" x14ac:dyDescent="0.3">
      <c r="A51" s="16"/>
      <c r="B51" s="17"/>
      <c r="C51" s="13"/>
      <c r="D51" s="18"/>
      <c r="E51" s="13"/>
      <c r="F51" s="19"/>
    </row>
    <row r="52" spans="1:6" ht="16.5" customHeight="1" x14ac:dyDescent="0.3">
      <c r="A52" s="13"/>
      <c r="B52" s="20" t="s">
        <v>7</v>
      </c>
      <c r="C52" s="20"/>
      <c r="D52" s="21" t="s">
        <v>8</v>
      </c>
      <c r="E52" s="22"/>
      <c r="F52" s="21" t="s">
        <v>9</v>
      </c>
    </row>
    <row r="53" spans="1:6" ht="34.5" customHeight="1" x14ac:dyDescent="0.3">
      <c r="A53" s="23" t="s">
        <v>10</v>
      </c>
      <c r="B53" s="24"/>
      <c r="C53" s="25"/>
      <c r="D53" s="24"/>
      <c r="E53" s="14"/>
      <c r="F53" s="26"/>
    </row>
    <row r="54" spans="1:6" ht="34.5" customHeight="1" x14ac:dyDescent="0.3">
      <c r="A54" s="23" t="s">
        <v>11</v>
      </c>
      <c r="B54" s="27"/>
      <c r="C54" s="28"/>
      <c r="D54" s="27"/>
      <c r="E54" s="14"/>
      <c r="F54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"/>
  <sheetViews>
    <sheetView view="pageLayout" topLeftCell="A97" zoomScale="50" zoomScaleNormal="75" zoomScalePageLayoutView="50" workbookViewId="0">
      <selection activeCell="A123" sqref="A123:XFD13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355" t="s">
        <v>12</v>
      </c>
      <c r="B1" s="355"/>
      <c r="C1" s="355"/>
      <c r="D1" s="355"/>
      <c r="E1" s="355"/>
      <c r="F1" s="355"/>
      <c r="G1" s="355"/>
      <c r="H1" s="355"/>
    </row>
    <row r="2" spans="1:8" x14ac:dyDescent="0.25">
      <c r="A2" s="355"/>
      <c r="B2" s="355"/>
      <c r="C2" s="355"/>
      <c r="D2" s="355"/>
      <c r="E2" s="355"/>
      <c r="F2" s="355"/>
      <c r="G2" s="355"/>
      <c r="H2" s="355"/>
    </row>
    <row r="3" spans="1:8" x14ac:dyDescent="0.25">
      <c r="A3" s="355"/>
      <c r="B3" s="355"/>
      <c r="C3" s="355"/>
      <c r="D3" s="355"/>
      <c r="E3" s="355"/>
      <c r="F3" s="355"/>
      <c r="G3" s="355"/>
      <c r="H3" s="355"/>
    </row>
    <row r="4" spans="1:8" x14ac:dyDescent="0.25">
      <c r="A4" s="355"/>
      <c r="B4" s="355"/>
      <c r="C4" s="355"/>
      <c r="D4" s="355"/>
      <c r="E4" s="355"/>
      <c r="F4" s="355"/>
      <c r="G4" s="355"/>
      <c r="H4" s="355"/>
    </row>
    <row r="5" spans="1:8" x14ac:dyDescent="0.25">
      <c r="A5" s="355"/>
      <c r="B5" s="355"/>
      <c r="C5" s="355"/>
      <c r="D5" s="355"/>
      <c r="E5" s="355"/>
      <c r="F5" s="355"/>
      <c r="G5" s="355"/>
      <c r="H5" s="355"/>
    </row>
    <row r="6" spans="1:8" x14ac:dyDescent="0.25">
      <c r="A6" s="355"/>
      <c r="B6" s="355"/>
      <c r="C6" s="355"/>
      <c r="D6" s="355"/>
      <c r="E6" s="355"/>
      <c r="F6" s="355"/>
      <c r="G6" s="355"/>
      <c r="H6" s="355"/>
    </row>
    <row r="7" spans="1:8" x14ac:dyDescent="0.25">
      <c r="A7" s="355"/>
      <c r="B7" s="355"/>
      <c r="C7" s="355"/>
      <c r="D7" s="355"/>
      <c r="E7" s="355"/>
      <c r="F7" s="355"/>
      <c r="G7" s="355"/>
      <c r="H7" s="355"/>
    </row>
    <row r="8" spans="1:8" x14ac:dyDescent="0.25">
      <c r="A8" s="356" t="s">
        <v>13</v>
      </c>
      <c r="B8" s="356"/>
      <c r="C8" s="356"/>
      <c r="D8" s="356"/>
      <c r="E8" s="356"/>
      <c r="F8" s="356"/>
      <c r="G8" s="356"/>
      <c r="H8" s="356"/>
    </row>
    <row r="9" spans="1:8" x14ac:dyDescent="0.25">
      <c r="A9" s="356"/>
      <c r="B9" s="356"/>
      <c r="C9" s="356"/>
      <c r="D9" s="356"/>
      <c r="E9" s="356"/>
      <c r="F9" s="356"/>
      <c r="G9" s="356"/>
      <c r="H9" s="356"/>
    </row>
    <row r="10" spans="1:8" x14ac:dyDescent="0.25">
      <c r="A10" s="356"/>
      <c r="B10" s="356"/>
      <c r="C10" s="356"/>
      <c r="D10" s="356"/>
      <c r="E10" s="356"/>
      <c r="F10" s="356"/>
      <c r="G10" s="356"/>
      <c r="H10" s="356"/>
    </row>
    <row r="11" spans="1:8" x14ac:dyDescent="0.25">
      <c r="A11" s="356"/>
      <c r="B11" s="356"/>
      <c r="C11" s="356"/>
      <c r="D11" s="356"/>
      <c r="E11" s="356"/>
      <c r="F11" s="356"/>
      <c r="G11" s="356"/>
      <c r="H11" s="356"/>
    </row>
    <row r="12" spans="1:8" x14ac:dyDescent="0.25">
      <c r="A12" s="356"/>
      <c r="B12" s="356"/>
      <c r="C12" s="356"/>
      <c r="D12" s="356"/>
      <c r="E12" s="356"/>
      <c r="F12" s="356"/>
      <c r="G12" s="356"/>
      <c r="H12" s="356"/>
    </row>
    <row r="13" spans="1:8" x14ac:dyDescent="0.25">
      <c r="A13" s="356"/>
      <c r="B13" s="356"/>
      <c r="C13" s="356"/>
      <c r="D13" s="356"/>
      <c r="E13" s="356"/>
      <c r="F13" s="356"/>
      <c r="G13" s="356"/>
      <c r="H13" s="356"/>
    </row>
    <row r="14" spans="1:8" x14ac:dyDescent="0.25">
      <c r="A14" s="356"/>
      <c r="B14" s="356"/>
      <c r="C14" s="356"/>
      <c r="D14" s="356"/>
      <c r="E14" s="356"/>
      <c r="F14" s="356"/>
      <c r="G14" s="356"/>
      <c r="H14" s="356"/>
    </row>
    <row r="15" spans="1:8" ht="19.5" customHeight="1" x14ac:dyDescent="0.25"/>
    <row r="16" spans="1:8" ht="19.5" customHeight="1" x14ac:dyDescent="0.25">
      <c r="A16" s="394" t="s">
        <v>14</v>
      </c>
      <c r="B16" s="395"/>
      <c r="C16" s="395"/>
      <c r="D16" s="395"/>
      <c r="E16" s="395"/>
      <c r="F16" s="395"/>
      <c r="G16" s="395"/>
      <c r="H16" s="396"/>
    </row>
    <row r="17" spans="1:13" ht="18.75" x14ac:dyDescent="0.3">
      <c r="A17" s="51" t="s">
        <v>15</v>
      </c>
      <c r="B17" s="51"/>
    </row>
    <row r="18" spans="1:13" ht="18.75" x14ac:dyDescent="0.3">
      <c r="A18" s="53" t="s">
        <v>16</v>
      </c>
      <c r="B18" s="397" t="s">
        <v>100</v>
      </c>
      <c r="C18" s="397"/>
      <c r="D18" s="143"/>
      <c r="E18" s="143"/>
    </row>
    <row r="19" spans="1:13" ht="18.75" x14ac:dyDescent="0.3">
      <c r="A19" s="53" t="s">
        <v>17</v>
      </c>
      <c r="B19" s="144" t="s">
        <v>101</v>
      </c>
      <c r="C19" s="212">
        <v>15</v>
      </c>
    </row>
    <row r="20" spans="1:13" ht="18.75" x14ac:dyDescent="0.3">
      <c r="A20" s="53" t="s">
        <v>18</v>
      </c>
      <c r="B20" s="144" t="s">
        <v>98</v>
      </c>
    </row>
    <row r="21" spans="1:13" ht="18.75" x14ac:dyDescent="0.3">
      <c r="A21" s="53" t="s">
        <v>19</v>
      </c>
      <c r="B21" s="168" t="s">
        <v>102</v>
      </c>
      <c r="C21" s="168"/>
      <c r="D21" s="168"/>
      <c r="E21" s="168"/>
      <c r="F21" s="168"/>
      <c r="G21" s="168"/>
      <c r="H21" s="168"/>
    </row>
    <row r="22" spans="1:13" ht="18.75" x14ac:dyDescent="0.3">
      <c r="A22" s="53" t="s">
        <v>20</v>
      </c>
      <c r="B22" s="145"/>
    </row>
    <row r="23" spans="1:13" ht="18.75" x14ac:dyDescent="0.3">
      <c r="A23" s="53" t="s">
        <v>21</v>
      </c>
      <c r="B23" s="145"/>
    </row>
    <row r="24" spans="1:13" ht="18.75" x14ac:dyDescent="0.3">
      <c r="A24" s="53"/>
      <c r="B24" s="56"/>
    </row>
    <row r="25" spans="1:13" ht="18.75" x14ac:dyDescent="0.3">
      <c r="A25" s="57" t="s">
        <v>0</v>
      </c>
      <c r="B25" s="56"/>
    </row>
    <row r="26" spans="1:13" ht="26.25" customHeight="1" x14ac:dyDescent="0.4">
      <c r="A26" s="58" t="s">
        <v>1</v>
      </c>
      <c r="B26" s="368" t="s">
        <v>98</v>
      </c>
      <c r="C26" s="368"/>
    </row>
    <row r="27" spans="1:13" ht="26.25" customHeight="1" x14ac:dyDescent="0.4">
      <c r="A27" s="60" t="s">
        <v>22</v>
      </c>
      <c r="B27" s="190" t="s">
        <v>99</v>
      </c>
    </row>
    <row r="28" spans="1:13" ht="27" customHeight="1" x14ac:dyDescent="0.4">
      <c r="A28" s="60" t="s">
        <v>3</v>
      </c>
      <c r="B28" s="191">
        <v>99.52</v>
      </c>
    </row>
    <row r="29" spans="1:13" s="3" customFormat="1" ht="27" customHeight="1" x14ac:dyDescent="0.4">
      <c r="A29" s="60" t="s">
        <v>23</v>
      </c>
      <c r="B29" s="190">
        <v>0</v>
      </c>
      <c r="C29" s="369" t="s">
        <v>82</v>
      </c>
      <c r="D29" s="370"/>
      <c r="E29" s="370"/>
      <c r="F29" s="370"/>
      <c r="G29" s="371"/>
      <c r="I29" s="62"/>
      <c r="J29" s="62"/>
      <c r="K29" s="62"/>
    </row>
    <row r="30" spans="1:13" s="3" customFormat="1" ht="19.5" customHeight="1" x14ac:dyDescent="0.3">
      <c r="A30" s="60" t="s">
        <v>24</v>
      </c>
      <c r="B30" s="59">
        <f>B28-B29</f>
        <v>99.52</v>
      </c>
      <c r="C30" s="63"/>
      <c r="D30" s="63"/>
      <c r="E30" s="63"/>
      <c r="F30" s="63"/>
      <c r="G30" s="64"/>
      <c r="I30" s="62"/>
      <c r="J30" s="62"/>
      <c r="K30" s="62"/>
    </row>
    <row r="31" spans="1:13" s="3" customFormat="1" ht="27" customHeight="1" x14ac:dyDescent="0.4">
      <c r="A31" s="60" t="s">
        <v>25</v>
      </c>
      <c r="B31" s="192">
        <v>1</v>
      </c>
      <c r="C31" s="361" t="s">
        <v>26</v>
      </c>
      <c r="D31" s="362"/>
      <c r="E31" s="362"/>
      <c r="F31" s="362"/>
      <c r="G31" s="362"/>
      <c r="H31" s="363"/>
      <c r="I31" s="62"/>
      <c r="J31" s="62"/>
      <c r="K31" s="62"/>
    </row>
    <row r="32" spans="1:13" s="3" customFormat="1" ht="27" customHeight="1" x14ac:dyDescent="0.4">
      <c r="A32" s="60" t="s">
        <v>27</v>
      </c>
      <c r="B32" s="192">
        <v>1</v>
      </c>
      <c r="C32" s="361" t="s">
        <v>28</v>
      </c>
      <c r="D32" s="362"/>
      <c r="E32" s="362"/>
      <c r="F32" s="362"/>
      <c r="G32" s="362"/>
      <c r="H32" s="363"/>
      <c r="I32" s="62"/>
      <c r="J32" s="62"/>
      <c r="K32" s="66"/>
      <c r="L32" s="66"/>
      <c r="M32" s="67"/>
    </row>
    <row r="33" spans="1:13" s="3" customFormat="1" ht="17.25" customHeight="1" x14ac:dyDescent="0.3">
      <c r="A33" s="60"/>
      <c r="B33" s="65"/>
      <c r="C33" s="68"/>
      <c r="D33" s="68"/>
      <c r="E33" s="68"/>
      <c r="F33" s="68"/>
      <c r="G33" s="68"/>
      <c r="H33" s="68"/>
      <c r="I33" s="62"/>
      <c r="J33" s="62"/>
      <c r="K33" s="66"/>
      <c r="L33" s="66"/>
      <c r="M33" s="67"/>
    </row>
    <row r="34" spans="1:13" s="3" customFormat="1" ht="18.75" x14ac:dyDescent="0.3">
      <c r="A34" s="60" t="s">
        <v>29</v>
      </c>
      <c r="B34" s="69">
        <f>B31/B32</f>
        <v>1</v>
      </c>
      <c r="C34" s="52" t="s">
        <v>30</v>
      </c>
      <c r="D34" s="52"/>
      <c r="E34" s="52"/>
      <c r="F34" s="52"/>
      <c r="G34" s="52"/>
      <c r="I34" s="62"/>
      <c r="J34" s="62"/>
      <c r="K34" s="66"/>
      <c r="L34" s="66"/>
      <c r="M34" s="67"/>
    </row>
    <row r="35" spans="1:13" s="3" customFormat="1" ht="19.5" customHeight="1" x14ac:dyDescent="0.3">
      <c r="A35" s="60"/>
      <c r="B35" s="59"/>
      <c r="G35" s="52"/>
      <c r="I35" s="62"/>
      <c r="J35" s="62"/>
      <c r="K35" s="66"/>
      <c r="L35" s="66"/>
      <c r="M35" s="67"/>
    </row>
    <row r="36" spans="1:13" s="3" customFormat="1" ht="27" customHeight="1" x14ac:dyDescent="0.4">
      <c r="A36" s="70" t="s">
        <v>92</v>
      </c>
      <c r="B36" s="193">
        <v>100</v>
      </c>
      <c r="C36" s="52"/>
      <c r="D36" s="358" t="s">
        <v>31</v>
      </c>
      <c r="E36" s="389"/>
      <c r="F36" s="358" t="s">
        <v>32</v>
      </c>
      <c r="G36" s="359"/>
      <c r="I36" s="62"/>
      <c r="J36" s="62"/>
      <c r="K36" s="66"/>
      <c r="L36" s="66"/>
      <c r="M36" s="67"/>
    </row>
    <row r="37" spans="1:13" s="3" customFormat="1" ht="26.25" customHeight="1" x14ac:dyDescent="0.4">
      <c r="A37" s="71" t="s">
        <v>33</v>
      </c>
      <c r="B37" s="194">
        <v>5</v>
      </c>
      <c r="C37" s="73" t="s">
        <v>83</v>
      </c>
      <c r="D37" s="74" t="s">
        <v>35</v>
      </c>
      <c r="E37" s="130" t="s">
        <v>36</v>
      </c>
      <c r="F37" s="74" t="s">
        <v>35</v>
      </c>
      <c r="G37" s="75" t="s">
        <v>36</v>
      </c>
      <c r="I37" s="62"/>
      <c r="J37" s="62"/>
      <c r="K37" s="66"/>
      <c r="L37" s="66"/>
      <c r="M37" s="67"/>
    </row>
    <row r="38" spans="1:13" s="3" customFormat="1" ht="26.25" customHeight="1" x14ac:dyDescent="0.4">
      <c r="A38" s="71" t="s">
        <v>37</v>
      </c>
      <c r="B38" s="194">
        <v>100</v>
      </c>
      <c r="C38" s="76">
        <v>1</v>
      </c>
      <c r="D38" s="195">
        <v>0.73799999999999999</v>
      </c>
      <c r="E38" s="146">
        <f>IF(ISBLANK(D38),"-",$D$48/$D$45*D38)</f>
        <v>0.8034230612465294</v>
      </c>
      <c r="F38" s="195">
        <v>0.81399999999999995</v>
      </c>
      <c r="G38" s="149">
        <f>IF(ISBLANK(F38),"-",$D$48/$F$45*F38)</f>
        <v>0.80504531989771377</v>
      </c>
      <c r="I38" s="62"/>
      <c r="J38" s="62"/>
      <c r="K38" s="66"/>
      <c r="L38" s="66"/>
      <c r="M38" s="67"/>
    </row>
    <row r="39" spans="1:13" s="3" customFormat="1" ht="26.25" customHeight="1" x14ac:dyDescent="0.4">
      <c r="A39" s="71" t="s">
        <v>38</v>
      </c>
      <c r="B39" s="194">
        <v>1</v>
      </c>
      <c r="C39" s="72">
        <v>2</v>
      </c>
      <c r="D39" s="196">
        <v>0.73899999999999999</v>
      </c>
      <c r="E39" s="147">
        <f>IF(ISBLANK(D39),"-",$D$48/$D$45*D39)</f>
        <v>0.80451171038100977</v>
      </c>
      <c r="F39" s="196">
        <v>0.81200000000000006</v>
      </c>
      <c r="G39" s="150">
        <f>IF(ISBLANK(F39),"-",$D$48/$F$45*F39)</f>
        <v>0.80306732156872684</v>
      </c>
      <c r="I39" s="62"/>
      <c r="J39" s="62"/>
      <c r="K39" s="66"/>
      <c r="L39" s="66"/>
      <c r="M39" s="67"/>
    </row>
    <row r="40" spans="1:13" ht="26.25" customHeight="1" x14ac:dyDescent="0.4">
      <c r="A40" s="71" t="s">
        <v>39</v>
      </c>
      <c r="B40" s="194">
        <v>1</v>
      </c>
      <c r="C40" s="72">
        <v>3</v>
      </c>
      <c r="D40" s="196">
        <v>0.74099999999999999</v>
      </c>
      <c r="E40" s="147">
        <f>IF(ISBLANK(D40),"-",$D$48/$D$45*D40)</f>
        <v>0.80668900864997051</v>
      </c>
      <c r="F40" s="196">
        <v>0.81100000000000005</v>
      </c>
      <c r="G40" s="150">
        <f>IF(ISBLANK(F40),"-",$D$48/$F$45*F40)</f>
        <v>0.80207832240423338</v>
      </c>
      <c r="K40" s="66"/>
      <c r="L40" s="66"/>
      <c r="M40" s="78"/>
    </row>
    <row r="41" spans="1:13" ht="26.25" customHeight="1" x14ac:dyDescent="0.4">
      <c r="A41" s="71" t="s">
        <v>40</v>
      </c>
      <c r="B41" s="194">
        <v>1</v>
      </c>
      <c r="C41" s="79">
        <v>4</v>
      </c>
      <c r="D41" s="197"/>
      <c r="E41" s="148" t="str">
        <f>IF(ISBLANK(D41),"-",$D$48/$D$45*D41)</f>
        <v>-</v>
      </c>
      <c r="F41" s="197"/>
      <c r="G41" s="151" t="str">
        <f>IF(ISBLANK(F41),"-",$D$48/$F$45*F41)</f>
        <v>-</v>
      </c>
      <c r="K41" s="66"/>
      <c r="L41" s="66"/>
      <c r="M41" s="78"/>
    </row>
    <row r="42" spans="1:13" ht="27" customHeight="1" x14ac:dyDescent="0.4">
      <c r="A42" s="71" t="s">
        <v>41</v>
      </c>
      <c r="B42" s="194">
        <v>1</v>
      </c>
      <c r="C42" s="81" t="s">
        <v>42</v>
      </c>
      <c r="D42" s="173">
        <f>AVERAGE(D38:D41)</f>
        <v>0.73933333333333329</v>
      </c>
      <c r="E42" s="106">
        <f>AVERAGE(E38:E41)</f>
        <v>0.80487459342583667</v>
      </c>
      <c r="F42" s="82">
        <f>AVERAGE(F38:F41)</f>
        <v>0.81233333333333324</v>
      </c>
      <c r="G42" s="83">
        <f>AVERAGE(G38:G41)</f>
        <v>0.8033969879568913</v>
      </c>
      <c r="H42" s="165"/>
    </row>
    <row r="43" spans="1:13" ht="26.25" customHeight="1" x14ac:dyDescent="0.4">
      <c r="A43" s="71" t="s">
        <v>43</v>
      </c>
      <c r="B43" s="191">
        <v>1</v>
      </c>
      <c r="C43" s="174" t="s">
        <v>44</v>
      </c>
      <c r="D43" s="198">
        <v>18.46</v>
      </c>
      <c r="E43" s="78"/>
      <c r="F43" s="199">
        <v>20.32</v>
      </c>
      <c r="H43" s="165"/>
    </row>
    <row r="44" spans="1:13" ht="26.25" customHeight="1" x14ac:dyDescent="0.4">
      <c r="A44" s="71" t="s">
        <v>45</v>
      </c>
      <c r="B44" s="191">
        <v>1</v>
      </c>
      <c r="C44" s="175" t="s">
        <v>46</v>
      </c>
      <c r="D44" s="176">
        <f>D43*$B$34</f>
        <v>18.46</v>
      </c>
      <c r="E44" s="85"/>
      <c r="F44" s="84">
        <f>F43*$B$34</f>
        <v>20.32</v>
      </c>
      <c r="H44" s="165"/>
    </row>
    <row r="45" spans="1:13" ht="19.5" customHeight="1" x14ac:dyDescent="0.3">
      <c r="A45" s="71" t="s">
        <v>47</v>
      </c>
      <c r="B45" s="172">
        <f>(B44/B43)*(B42/B41)*(B40/B39)*(B38/B37)*B36</f>
        <v>2000</v>
      </c>
      <c r="C45" s="175" t="s">
        <v>48</v>
      </c>
      <c r="D45" s="177">
        <f>D44*$B$30/100</f>
        <v>18.371392</v>
      </c>
      <c r="E45" s="87"/>
      <c r="F45" s="86">
        <f>F44*$B$30/100</f>
        <v>20.222463999999999</v>
      </c>
      <c r="H45" s="165"/>
    </row>
    <row r="46" spans="1:13" ht="19.5" customHeight="1" x14ac:dyDescent="0.3">
      <c r="A46" s="364" t="s">
        <v>49</v>
      </c>
      <c r="B46" s="379"/>
      <c r="C46" s="175" t="s">
        <v>50</v>
      </c>
      <c r="D46" s="176">
        <f>D45/$B$45</f>
        <v>9.1856960000000001E-3</v>
      </c>
      <c r="E46" s="87"/>
      <c r="F46" s="88">
        <f>F45/$B$45</f>
        <v>1.0111232E-2</v>
      </c>
      <c r="H46" s="165"/>
    </row>
    <row r="47" spans="1:13" ht="27" customHeight="1" x14ac:dyDescent="0.4">
      <c r="A47" s="366"/>
      <c r="B47" s="380"/>
      <c r="C47" s="175" t="s">
        <v>51</v>
      </c>
      <c r="D47" s="200">
        <v>0.01</v>
      </c>
      <c r="F47" s="90"/>
      <c r="H47" s="165"/>
    </row>
    <row r="48" spans="1:13" ht="18.75" x14ac:dyDescent="0.3">
      <c r="C48" s="175" t="s">
        <v>52</v>
      </c>
      <c r="D48" s="176">
        <f>D47*$B$45</f>
        <v>20</v>
      </c>
      <c r="F48" s="90"/>
      <c r="H48" s="165"/>
    </row>
    <row r="49" spans="1:11" ht="19.5" customHeight="1" x14ac:dyDescent="0.3">
      <c r="C49" s="178" t="s">
        <v>53</v>
      </c>
      <c r="D49" s="179">
        <f>D48/B34</f>
        <v>20</v>
      </c>
      <c r="F49" s="93"/>
      <c r="H49" s="165"/>
    </row>
    <row r="50" spans="1:11" ht="18.75" x14ac:dyDescent="0.3">
      <c r="C50" s="180" t="s">
        <v>54</v>
      </c>
      <c r="D50" s="181">
        <f>AVERAGE(E38:E41,G38:G41)</f>
        <v>0.80413579069136409</v>
      </c>
      <c r="F50" s="93"/>
      <c r="H50" s="165"/>
    </row>
    <row r="51" spans="1:11" ht="18.75" x14ac:dyDescent="0.3">
      <c r="C51" s="89" t="s">
        <v>55</v>
      </c>
      <c r="D51" s="94">
        <f>STDEV(E38:E41,G38:G41)/D50</f>
        <v>2.0335536418178935E-3</v>
      </c>
      <c r="F51" s="93"/>
    </row>
    <row r="52" spans="1:11" ht="19.5" customHeight="1" x14ac:dyDescent="0.3">
      <c r="C52" s="91" t="s">
        <v>6</v>
      </c>
      <c r="D52" s="95">
        <f>COUNT(E38:E41,G38:G41)</f>
        <v>6</v>
      </c>
      <c r="F52" s="93"/>
    </row>
    <row r="54" spans="1:11" ht="18.75" x14ac:dyDescent="0.3">
      <c r="A54" s="51" t="s">
        <v>0</v>
      </c>
      <c r="B54" s="96" t="s">
        <v>56</v>
      </c>
    </row>
    <row r="55" spans="1:11" ht="18.75" x14ac:dyDescent="0.3">
      <c r="A55" s="52" t="s">
        <v>57</v>
      </c>
      <c r="B55" s="55" t="str">
        <f>B21</f>
        <v>Each Tablet contains Metformin HCl 850 mg</v>
      </c>
    </row>
    <row r="56" spans="1:11" ht="26.25" customHeight="1" x14ac:dyDescent="0.4">
      <c r="A56" s="54" t="s">
        <v>93</v>
      </c>
      <c r="B56" s="190">
        <v>850</v>
      </c>
      <c r="C56" s="52" t="str">
        <f>B20</f>
        <v>Metformin HCl</v>
      </c>
      <c r="H56" s="61"/>
    </row>
    <row r="57" spans="1:11" ht="18.75" x14ac:dyDescent="0.3">
      <c r="A57" s="55" t="s">
        <v>94</v>
      </c>
      <c r="B57" s="213">
        <f>Uniformity!C46</f>
        <v>889.45649999999989</v>
      </c>
      <c r="H57" s="61"/>
    </row>
    <row r="58" spans="1:11" ht="19.5" customHeight="1" x14ac:dyDescent="0.3">
      <c r="H58" s="61"/>
    </row>
    <row r="59" spans="1:11" s="3" customFormat="1" ht="27" customHeight="1" x14ac:dyDescent="0.4">
      <c r="A59" s="70" t="s">
        <v>95</v>
      </c>
      <c r="B59" s="193">
        <v>500</v>
      </c>
      <c r="C59" s="52"/>
      <c r="D59" s="98" t="s">
        <v>61</v>
      </c>
      <c r="E59" s="97" t="s">
        <v>34</v>
      </c>
      <c r="F59" s="97" t="s">
        <v>35</v>
      </c>
      <c r="G59" s="97" t="s">
        <v>62</v>
      </c>
      <c r="H59" s="73" t="s">
        <v>63</v>
      </c>
      <c r="K59" s="62"/>
    </row>
    <row r="60" spans="1:11" s="3" customFormat="1" ht="22.5" customHeight="1" x14ac:dyDescent="0.4">
      <c r="A60" s="71" t="s">
        <v>64</v>
      </c>
      <c r="B60" s="194">
        <v>1</v>
      </c>
      <c r="C60" s="373" t="s">
        <v>65</v>
      </c>
      <c r="D60" s="376">
        <v>521.23</v>
      </c>
      <c r="E60" s="99">
        <v>1</v>
      </c>
      <c r="F60" s="202">
        <v>0.79600000000000004</v>
      </c>
      <c r="G60" s="134">
        <f>IF(ISBLANK(F60),"-",(F60/$D$50*$D$47*$B$68)*($B$57/$D$60))</f>
        <v>844.59593909960097</v>
      </c>
      <c r="H60" s="136">
        <f t="shared" ref="H60:H71" si="0">IF(ISBLANK(F60),"-",G60/$B$56)</f>
        <v>0.99364228129364818</v>
      </c>
      <c r="K60" s="62"/>
    </row>
    <row r="61" spans="1:11" s="3" customFormat="1" ht="26.25" customHeight="1" x14ac:dyDescent="0.4">
      <c r="A61" s="71" t="s">
        <v>66</v>
      </c>
      <c r="B61" s="194">
        <v>100</v>
      </c>
      <c r="C61" s="372"/>
      <c r="D61" s="377"/>
      <c r="E61" s="100">
        <v>2</v>
      </c>
      <c r="F61" s="196">
        <v>0.79300000000000004</v>
      </c>
      <c r="G61" s="135">
        <f>IF(ISBLANK(F61),"-",(F61/$D$50*$D$47*$B$68)*($B$57/$D$60))</f>
        <v>841.4127885753561</v>
      </c>
      <c r="H61" s="137">
        <f t="shared" si="0"/>
        <v>0.98989739832394841</v>
      </c>
      <c r="K61" s="62"/>
    </row>
    <row r="62" spans="1:11" s="3" customFormat="1" ht="26.25" customHeight="1" x14ac:dyDescent="0.4">
      <c r="A62" s="71" t="s">
        <v>67</v>
      </c>
      <c r="B62" s="194">
        <v>1</v>
      </c>
      <c r="C62" s="372"/>
      <c r="D62" s="377"/>
      <c r="E62" s="100">
        <v>3</v>
      </c>
      <c r="F62" s="196">
        <v>0.79300000000000004</v>
      </c>
      <c r="G62" s="135">
        <f>IF(ISBLANK(F62),"-",(F62/$D$50*$D$47*$B$68)*($B$57/$D$60))</f>
        <v>841.4127885753561</v>
      </c>
      <c r="H62" s="137">
        <f t="shared" si="0"/>
        <v>0.98989739832394841</v>
      </c>
      <c r="K62" s="62"/>
    </row>
    <row r="63" spans="1:11" ht="21" customHeight="1" x14ac:dyDescent="0.4">
      <c r="A63" s="71" t="s">
        <v>68</v>
      </c>
      <c r="B63" s="194">
        <v>1</v>
      </c>
      <c r="C63" s="374"/>
      <c r="D63" s="378"/>
      <c r="E63" s="101">
        <v>4</v>
      </c>
      <c r="F63" s="203"/>
      <c r="G63" s="135" t="str">
        <f>IF(ISBLANK(F63),"-",(F63/$D$50*$D$47*$B$68)*($B$57/$D$60))</f>
        <v>-</v>
      </c>
      <c r="H63" s="137" t="str">
        <f t="shared" si="0"/>
        <v>-</v>
      </c>
    </row>
    <row r="64" spans="1:11" ht="26.25" customHeight="1" x14ac:dyDescent="0.4">
      <c r="A64" s="71" t="s">
        <v>69</v>
      </c>
      <c r="B64" s="194">
        <v>1</v>
      </c>
      <c r="C64" s="373" t="s">
        <v>70</v>
      </c>
      <c r="D64" s="376">
        <v>523.55999999999995</v>
      </c>
      <c r="E64" s="99">
        <v>1</v>
      </c>
      <c r="F64" s="202">
        <v>0.80400000000000005</v>
      </c>
      <c r="G64" s="161">
        <f>IF(ISBLANK(F64),"-",(F64/$D$50*$D$47*$B$68)*($B$57/$D$64))</f>
        <v>849.28785773847733</v>
      </c>
      <c r="H64" s="158">
        <f t="shared" si="0"/>
        <v>0.99916218557467917</v>
      </c>
    </row>
    <row r="65" spans="1:8" ht="26.25" customHeight="1" x14ac:dyDescent="0.4">
      <c r="A65" s="71" t="s">
        <v>71</v>
      </c>
      <c r="B65" s="194">
        <v>1</v>
      </c>
      <c r="C65" s="372"/>
      <c r="D65" s="377"/>
      <c r="E65" s="100">
        <v>2</v>
      </c>
      <c r="F65" s="196">
        <v>0.80400000000000005</v>
      </c>
      <c r="G65" s="162">
        <f>IF(ISBLANK(F65),"-",(F65/$D$50*$D$47*$B$68)*($B$57/$D$64))</f>
        <v>849.28785773847733</v>
      </c>
      <c r="H65" s="159">
        <f t="shared" si="0"/>
        <v>0.99916218557467917</v>
      </c>
    </row>
    <row r="66" spans="1:8" ht="26.25" customHeight="1" x14ac:dyDescent="0.4">
      <c r="A66" s="71" t="s">
        <v>72</v>
      </c>
      <c r="B66" s="194">
        <v>1</v>
      </c>
      <c r="C66" s="372"/>
      <c r="D66" s="377"/>
      <c r="E66" s="100">
        <v>3</v>
      </c>
      <c r="F66" s="196">
        <v>0.80100000000000005</v>
      </c>
      <c r="G66" s="162">
        <f>IF(ISBLANK(F66),"-",(F66/$D$50*$D$47*$B$68)*($B$57/$D$64))</f>
        <v>846.11887319467701</v>
      </c>
      <c r="H66" s="159">
        <f t="shared" si="0"/>
        <v>0.99543396846432586</v>
      </c>
    </row>
    <row r="67" spans="1:8" ht="21" customHeight="1" x14ac:dyDescent="0.4">
      <c r="A67" s="71" t="s">
        <v>73</v>
      </c>
      <c r="B67" s="194">
        <v>1</v>
      </c>
      <c r="C67" s="374"/>
      <c r="D67" s="378"/>
      <c r="E67" s="101">
        <v>4</v>
      </c>
      <c r="F67" s="203"/>
      <c r="G67" s="163" t="str">
        <f>IF(ISBLANK(F67),"-",(F67/$D$50*$D$47*$B$68)*($B$57/$D$64))</f>
        <v>-</v>
      </c>
      <c r="H67" s="160" t="str">
        <f t="shared" si="0"/>
        <v>-</v>
      </c>
    </row>
    <row r="68" spans="1:8" ht="21.75" customHeight="1" x14ac:dyDescent="0.4">
      <c r="A68" s="71" t="s">
        <v>74</v>
      </c>
      <c r="B68" s="170">
        <f>(B67/B66)*(B65/B64)*(B63/B62)*(B61/B60)*B59</f>
        <v>50000</v>
      </c>
      <c r="C68" s="373" t="s">
        <v>75</v>
      </c>
      <c r="D68" s="376">
        <v>525.55999999999995</v>
      </c>
      <c r="E68" s="99">
        <v>1</v>
      </c>
      <c r="F68" s="202">
        <v>0.80600000000000005</v>
      </c>
      <c r="G68" s="161">
        <f>IF(ISBLANK(F68),"-",(F68/$D$50*$D$47*$B$68)*($B$57/$D$68))</f>
        <v>848.16053954396318</v>
      </c>
      <c r="H68" s="137">
        <f t="shared" si="0"/>
        <v>0.99783592887525085</v>
      </c>
    </row>
    <row r="69" spans="1:8" ht="21.75" customHeight="1" x14ac:dyDescent="0.4">
      <c r="A69" s="182" t="s">
        <v>96</v>
      </c>
      <c r="B69" s="201">
        <f>D47*B68/B56*B57</f>
        <v>523.20970588235286</v>
      </c>
      <c r="C69" s="372"/>
      <c r="D69" s="377"/>
      <c r="E69" s="100">
        <v>2</v>
      </c>
      <c r="F69" s="196">
        <v>0.80400000000000005</v>
      </c>
      <c r="G69" s="162">
        <f>IF(ISBLANK(F69),"-",(F69/$D$50*$D$47*$B$68)*($B$57/$D$68))</f>
        <v>846.05592282052896</v>
      </c>
      <c r="H69" s="137">
        <f t="shared" si="0"/>
        <v>0.99535990920062234</v>
      </c>
    </row>
    <row r="70" spans="1:8" ht="22.5" customHeight="1" x14ac:dyDescent="0.4">
      <c r="A70" s="390" t="s">
        <v>49</v>
      </c>
      <c r="B70" s="391"/>
      <c r="C70" s="372"/>
      <c r="D70" s="377"/>
      <c r="E70" s="100">
        <v>3</v>
      </c>
      <c r="F70" s="196">
        <v>0.80400000000000005</v>
      </c>
      <c r="G70" s="162">
        <f>IF(ISBLANK(F70),"-",(F70/$D$50*$D$47*$B$68)*($B$57/$D$68))</f>
        <v>846.05592282052896</v>
      </c>
      <c r="H70" s="137">
        <f t="shared" si="0"/>
        <v>0.99535990920062234</v>
      </c>
    </row>
    <row r="71" spans="1:8" ht="21.75" customHeight="1" x14ac:dyDescent="0.4">
      <c r="A71" s="392"/>
      <c r="B71" s="393"/>
      <c r="C71" s="375"/>
      <c r="D71" s="378"/>
      <c r="E71" s="101">
        <v>4</v>
      </c>
      <c r="F71" s="203"/>
      <c r="G71" s="163" t="str">
        <f>IF(ISBLANK(F71),"-",(F71/$D$50*$D$47*$B$68)*($B$57/$D$68))</f>
        <v>-</v>
      </c>
      <c r="H71" s="138" t="str">
        <f t="shared" si="0"/>
        <v>-</v>
      </c>
    </row>
    <row r="72" spans="1:8" ht="26.25" customHeight="1" x14ac:dyDescent="0.4">
      <c r="A72" s="102"/>
      <c r="B72" s="102"/>
      <c r="C72" s="102"/>
      <c r="D72" s="102"/>
      <c r="E72" s="102"/>
      <c r="F72" s="103"/>
      <c r="G72" s="92" t="s">
        <v>42</v>
      </c>
      <c r="H72" s="204">
        <f>AVERAGE(H60:H71)</f>
        <v>0.99508346275908055</v>
      </c>
    </row>
    <row r="73" spans="1:8" ht="26.25" customHeight="1" x14ac:dyDescent="0.4">
      <c r="C73" s="102"/>
      <c r="D73" s="102"/>
      <c r="E73" s="102"/>
      <c r="F73" s="103"/>
      <c r="G73" s="89" t="s">
        <v>55</v>
      </c>
      <c r="H73" s="205">
        <f>STDEV(H60:H71)/H72</f>
        <v>3.4991438904389376E-3</v>
      </c>
    </row>
    <row r="74" spans="1:8" ht="27" customHeight="1" x14ac:dyDescent="0.4">
      <c r="A74" s="102"/>
      <c r="B74" s="102"/>
      <c r="C74" s="103"/>
      <c r="D74" s="103"/>
      <c r="E74" s="104"/>
      <c r="F74" s="103"/>
      <c r="G74" s="91" t="s">
        <v>6</v>
      </c>
      <c r="H74" s="206">
        <f>COUNT(H60:H71)</f>
        <v>9</v>
      </c>
    </row>
    <row r="75" spans="1:8" ht="18.75" x14ac:dyDescent="0.3">
      <c r="A75" s="102"/>
      <c r="B75" s="102"/>
      <c r="C75" s="103"/>
      <c r="D75" s="103"/>
      <c r="E75" s="104"/>
      <c r="F75" s="103"/>
      <c r="G75" s="124"/>
      <c r="H75" s="171"/>
    </row>
    <row r="76" spans="1:8" ht="18.75" x14ac:dyDescent="0.3">
      <c r="A76" s="58" t="s">
        <v>58</v>
      </c>
      <c r="B76" s="187" t="s">
        <v>84</v>
      </c>
      <c r="C76" s="357" t="str">
        <f>B20</f>
        <v>Metformin HCl</v>
      </c>
      <c r="D76" s="357"/>
      <c r="E76" s="188" t="s">
        <v>59</v>
      </c>
      <c r="F76" s="188"/>
      <c r="G76" s="189">
        <f>H72</f>
        <v>0.99508346275908055</v>
      </c>
      <c r="H76" s="171"/>
    </row>
    <row r="77" spans="1:8" ht="18.75" x14ac:dyDescent="0.3">
      <c r="A77" s="102"/>
      <c r="B77" s="102"/>
      <c r="C77" s="103"/>
      <c r="D77" s="103"/>
      <c r="E77" s="104"/>
      <c r="F77" s="103"/>
      <c r="G77" s="124"/>
      <c r="H77" s="171"/>
    </row>
    <row r="78" spans="1:8" ht="26.25" customHeight="1" x14ac:dyDescent="0.4">
      <c r="A78" s="57" t="s">
        <v>81</v>
      </c>
      <c r="B78" s="57" t="s">
        <v>97</v>
      </c>
      <c r="D78" s="403" t="s">
        <v>103</v>
      </c>
    </row>
    <row r="79" spans="1:8" ht="18.75" x14ac:dyDescent="0.3">
      <c r="A79" s="57"/>
      <c r="B79" s="57"/>
    </row>
    <row r="80" spans="1:8" ht="26.25" customHeight="1" x14ac:dyDescent="0.4">
      <c r="A80" s="58" t="s">
        <v>1</v>
      </c>
      <c r="B80" s="368" t="str">
        <f>B26</f>
        <v>Metformin HCl</v>
      </c>
      <c r="C80" s="368"/>
    </row>
    <row r="81" spans="1:11" ht="26.25" customHeight="1" x14ac:dyDescent="0.4">
      <c r="A81" s="60" t="s">
        <v>22</v>
      </c>
      <c r="B81" s="190" t="str">
        <f>B27</f>
        <v>M19-1</v>
      </c>
    </row>
    <row r="82" spans="1:11" ht="27" customHeight="1" x14ac:dyDescent="0.4">
      <c r="A82" s="60" t="s">
        <v>3</v>
      </c>
      <c r="B82" s="190">
        <f>B28</f>
        <v>99.52</v>
      </c>
    </row>
    <row r="83" spans="1:11" s="3" customFormat="1" ht="27" customHeight="1" x14ac:dyDescent="0.4">
      <c r="A83" s="60" t="s">
        <v>23</v>
      </c>
      <c r="B83" s="190">
        <f>B29</f>
        <v>0</v>
      </c>
      <c r="C83" s="369" t="s">
        <v>82</v>
      </c>
      <c r="D83" s="370"/>
      <c r="E83" s="370"/>
      <c r="F83" s="370"/>
      <c r="G83" s="371"/>
      <c r="I83" s="62"/>
      <c r="J83" s="62"/>
      <c r="K83" s="62"/>
    </row>
    <row r="84" spans="1:11" s="3" customFormat="1" ht="19.5" customHeight="1" x14ac:dyDescent="0.3">
      <c r="A84" s="60" t="s">
        <v>24</v>
      </c>
      <c r="B84" s="59">
        <f>B82-B83</f>
        <v>99.52</v>
      </c>
      <c r="C84" s="63"/>
      <c r="D84" s="63"/>
      <c r="E84" s="63"/>
      <c r="F84" s="63"/>
      <c r="G84" s="64"/>
      <c r="I84" s="62"/>
      <c r="J84" s="62"/>
      <c r="K84" s="62"/>
    </row>
    <row r="85" spans="1:11" s="3" customFormat="1" ht="27" customHeight="1" x14ac:dyDescent="0.4">
      <c r="A85" s="60" t="s">
        <v>25</v>
      </c>
      <c r="B85" s="192">
        <v>1</v>
      </c>
      <c r="C85" s="361" t="s">
        <v>26</v>
      </c>
      <c r="D85" s="362"/>
      <c r="E85" s="362"/>
      <c r="F85" s="362"/>
      <c r="G85" s="362"/>
      <c r="H85" s="363"/>
      <c r="I85" s="62"/>
      <c r="J85" s="62"/>
      <c r="K85" s="62"/>
    </row>
    <row r="86" spans="1:11" s="3" customFormat="1" ht="27" customHeight="1" x14ac:dyDescent="0.4">
      <c r="A86" s="60" t="s">
        <v>27</v>
      </c>
      <c r="B86" s="192">
        <v>1</v>
      </c>
      <c r="C86" s="361" t="s">
        <v>28</v>
      </c>
      <c r="D86" s="362"/>
      <c r="E86" s="362"/>
      <c r="F86" s="362"/>
      <c r="G86" s="362"/>
      <c r="H86" s="363"/>
      <c r="I86" s="62"/>
      <c r="J86" s="62"/>
      <c r="K86" s="62"/>
    </row>
    <row r="87" spans="1:11" s="3" customFormat="1" ht="18.75" x14ac:dyDescent="0.3">
      <c r="A87" s="60"/>
      <c r="B87" s="59"/>
      <c r="C87" s="63"/>
      <c r="D87" s="63"/>
      <c r="E87" s="63"/>
      <c r="F87" s="63"/>
      <c r="G87" s="64"/>
      <c r="I87" s="62"/>
      <c r="J87" s="62"/>
      <c r="K87" s="62"/>
    </row>
    <row r="88" spans="1:11" s="3" customFormat="1" ht="18.75" x14ac:dyDescent="0.3">
      <c r="A88" s="60" t="s">
        <v>29</v>
      </c>
      <c r="B88" s="69">
        <f>B85/B86</f>
        <v>1</v>
      </c>
      <c r="C88" s="52" t="s">
        <v>30</v>
      </c>
      <c r="D88" s="63"/>
      <c r="E88" s="63"/>
      <c r="F88" s="63"/>
      <c r="G88" s="64"/>
      <c r="I88" s="62"/>
      <c r="J88" s="62"/>
      <c r="K88" s="62"/>
    </row>
    <row r="89" spans="1:11" ht="19.5" customHeight="1" x14ac:dyDescent="0.3">
      <c r="A89" s="57"/>
      <c r="B89" s="57"/>
    </row>
    <row r="90" spans="1:11" ht="27" customHeight="1" x14ac:dyDescent="0.4">
      <c r="A90" s="70" t="s">
        <v>92</v>
      </c>
      <c r="B90" s="193">
        <v>100</v>
      </c>
      <c r="D90" s="132" t="s">
        <v>31</v>
      </c>
      <c r="E90" s="133"/>
      <c r="F90" s="358" t="s">
        <v>32</v>
      </c>
      <c r="G90" s="359"/>
    </row>
    <row r="91" spans="1:11" ht="26.25" customHeight="1" x14ac:dyDescent="0.4">
      <c r="A91" s="71" t="s">
        <v>33</v>
      </c>
      <c r="B91" s="194">
        <v>5</v>
      </c>
      <c r="C91" s="129" t="s">
        <v>83</v>
      </c>
      <c r="D91" s="74" t="s">
        <v>35</v>
      </c>
      <c r="E91" s="130" t="s">
        <v>36</v>
      </c>
      <c r="F91" s="74" t="s">
        <v>35</v>
      </c>
      <c r="G91" s="75" t="s">
        <v>36</v>
      </c>
    </row>
    <row r="92" spans="1:11" ht="26.25" customHeight="1" x14ac:dyDescent="0.4">
      <c r="A92" s="71" t="s">
        <v>37</v>
      </c>
      <c r="B92" s="194">
        <v>100</v>
      </c>
      <c r="C92" s="128">
        <v>1</v>
      </c>
      <c r="D92" s="195">
        <v>0.79300000000000004</v>
      </c>
      <c r="E92" s="146">
        <f>IF(ISBLANK(D92),"-",$D$102/$D$99*D92)</f>
        <v>0.6914763093579146</v>
      </c>
      <c r="F92" s="195">
        <v>0.85399999999999998</v>
      </c>
      <c r="G92" s="149">
        <f>IF(ISBLANK(F92),"-",$D$102/$F$99*F92)</f>
        <v>0.6976577000496692</v>
      </c>
    </row>
    <row r="93" spans="1:11" ht="26.25" customHeight="1" x14ac:dyDescent="0.4">
      <c r="A93" s="71" t="s">
        <v>38</v>
      </c>
      <c r="B93" s="194">
        <v>1</v>
      </c>
      <c r="C93" s="103">
        <v>2</v>
      </c>
      <c r="D93" s="196">
        <v>0.79300000000000004</v>
      </c>
      <c r="E93" s="147">
        <f>IF(ISBLANK(D93),"-",$D$102/$D$99*D93)</f>
        <v>0.6914763093579146</v>
      </c>
      <c r="F93" s="196">
        <v>0.85099999999999998</v>
      </c>
      <c r="G93" s="150">
        <f>IF(ISBLANK(F93),"-",$D$102/$F$99*F93)</f>
        <v>0.69520691187619266</v>
      </c>
    </row>
    <row r="94" spans="1:11" ht="26.25" customHeight="1" x14ac:dyDescent="0.4">
      <c r="A94" s="71" t="s">
        <v>39</v>
      </c>
      <c r="B94" s="194">
        <v>1</v>
      </c>
      <c r="C94" s="103">
        <v>3</v>
      </c>
      <c r="D94" s="196">
        <v>0.79200000000000004</v>
      </c>
      <c r="E94" s="147">
        <f>IF(ISBLANK(D94),"-",$D$102/$D$99*D94)</f>
        <v>0.69060433418848466</v>
      </c>
      <c r="F94" s="196">
        <v>0.85199999999999998</v>
      </c>
      <c r="G94" s="150">
        <f>IF(ISBLANK(F94),"-",$D$102/$F$99*F94)</f>
        <v>0.69602384126735151</v>
      </c>
    </row>
    <row r="95" spans="1:11" ht="26.25" customHeight="1" x14ac:dyDescent="0.4">
      <c r="A95" s="71" t="s">
        <v>40</v>
      </c>
      <c r="B95" s="194">
        <v>1</v>
      </c>
      <c r="C95" s="131">
        <v>4</v>
      </c>
      <c r="D95" s="197"/>
      <c r="E95" s="148" t="str">
        <f>IF(ISBLANK(D95),"-",$D$102/$D$99*D95)</f>
        <v>-</v>
      </c>
      <c r="F95" s="207"/>
      <c r="G95" s="151" t="str">
        <f>IF(ISBLANK(F95),"-",$D$102/$F$99*F95)</f>
        <v>-</v>
      </c>
    </row>
    <row r="96" spans="1:11" ht="27" customHeight="1" x14ac:dyDescent="0.4">
      <c r="A96" s="71" t="s">
        <v>41</v>
      </c>
      <c r="B96" s="194">
        <v>1</v>
      </c>
      <c r="C96" s="124" t="s">
        <v>42</v>
      </c>
      <c r="D96" s="398">
        <f>AVERAGE(D92:D95)</f>
        <v>0.79266666666666674</v>
      </c>
      <c r="E96" s="106">
        <f>AVERAGE(E92:E95)</f>
        <v>0.69118565096810458</v>
      </c>
      <c r="F96" s="399">
        <f>AVERAGE(F92:F95)</f>
        <v>0.85233333333333328</v>
      </c>
      <c r="G96" s="400">
        <f>AVERAGE(G92:G95)</f>
        <v>0.69629615106440446</v>
      </c>
    </row>
    <row r="97" spans="1:9" ht="26.25" customHeight="1" x14ac:dyDescent="0.4">
      <c r="A97" s="71" t="s">
        <v>43</v>
      </c>
      <c r="B97" s="191">
        <v>1</v>
      </c>
      <c r="C97" s="174" t="s">
        <v>44</v>
      </c>
      <c r="D97" s="198">
        <v>19.59</v>
      </c>
      <c r="E97" s="78"/>
      <c r="F97" s="199">
        <v>20.91</v>
      </c>
    </row>
    <row r="98" spans="1:9" ht="26.25" customHeight="1" x14ac:dyDescent="0.4">
      <c r="A98" s="71" t="s">
        <v>45</v>
      </c>
      <c r="B98" s="191">
        <v>1</v>
      </c>
      <c r="C98" s="175" t="s">
        <v>46</v>
      </c>
      <c r="D98" s="176">
        <f>D97*B88</f>
        <v>19.59</v>
      </c>
      <c r="E98" s="85"/>
      <c r="F98" s="84">
        <f>F97*B88</f>
        <v>20.91</v>
      </c>
    </row>
    <row r="99" spans="1:9" ht="19.5" customHeight="1" x14ac:dyDescent="0.3">
      <c r="A99" s="71" t="s">
        <v>47</v>
      </c>
      <c r="B99" s="172">
        <f>(B98/B97)*(B96/B95)*(B94/B93)*(B92/B91)*B90</f>
        <v>2000</v>
      </c>
      <c r="C99" s="175" t="s">
        <v>48</v>
      </c>
      <c r="D99" s="177">
        <f>D98*$B$84/100</f>
        <v>19.495967999999998</v>
      </c>
      <c r="E99" s="87"/>
      <c r="F99" s="86">
        <f>F98*$B$84/100</f>
        <v>20.809632000000001</v>
      </c>
    </row>
    <row r="100" spans="1:9" ht="19.5" customHeight="1" x14ac:dyDescent="0.3">
      <c r="A100" s="364" t="s">
        <v>49</v>
      </c>
      <c r="B100" s="379"/>
      <c r="C100" s="175" t="s">
        <v>50</v>
      </c>
      <c r="D100" s="176">
        <f>D99/$B$99</f>
        <v>9.7479839999999995E-3</v>
      </c>
      <c r="E100" s="87"/>
      <c r="F100" s="88">
        <f>F99/$B$99</f>
        <v>1.0404816000000001E-2</v>
      </c>
      <c r="G100" s="164"/>
      <c r="H100" s="165"/>
    </row>
    <row r="101" spans="1:9" ht="19.5" customHeight="1" x14ac:dyDescent="0.3">
      <c r="A101" s="366"/>
      <c r="B101" s="380"/>
      <c r="C101" s="175" t="s">
        <v>51</v>
      </c>
      <c r="D101" s="183">
        <f>850/1000*1/100</f>
        <v>8.5000000000000006E-3</v>
      </c>
      <c r="F101" s="90"/>
      <c r="G101" s="166"/>
      <c r="H101" s="165"/>
    </row>
    <row r="102" spans="1:9" ht="18.75" x14ac:dyDescent="0.3">
      <c r="C102" s="175" t="s">
        <v>52</v>
      </c>
      <c r="D102" s="176">
        <f>D101*$B$99</f>
        <v>17</v>
      </c>
      <c r="F102" s="90"/>
      <c r="G102" s="164"/>
      <c r="H102" s="165"/>
    </row>
    <row r="103" spans="1:9" ht="19.5" customHeight="1" x14ac:dyDescent="0.3">
      <c r="C103" s="178" t="s">
        <v>53</v>
      </c>
      <c r="D103" s="184">
        <f>D102/B34</f>
        <v>17</v>
      </c>
      <c r="F103" s="93"/>
      <c r="G103" s="164"/>
      <c r="H103" s="165"/>
      <c r="I103" s="107"/>
    </row>
    <row r="104" spans="1:9" ht="18.75" x14ac:dyDescent="0.3">
      <c r="C104" s="180" t="s">
        <v>76</v>
      </c>
      <c r="D104" s="181">
        <f>AVERAGE(E92:E95,G92:G95)</f>
        <v>0.69374090101625452</v>
      </c>
      <c r="F104" s="93"/>
      <c r="G104" s="167"/>
      <c r="H104" s="165"/>
      <c r="I104" s="109"/>
    </row>
    <row r="105" spans="1:9" ht="18.75" x14ac:dyDescent="0.3">
      <c r="C105" s="89" t="s">
        <v>55</v>
      </c>
      <c r="D105" s="108">
        <f>STDEV(E92:E95,G92:G95)/D104</f>
        <v>4.2172075437561986E-3</v>
      </c>
      <c r="F105" s="93"/>
      <c r="G105" s="164"/>
      <c r="H105" s="165"/>
      <c r="I105" s="109"/>
    </row>
    <row r="106" spans="1:9" ht="19.5" customHeight="1" x14ac:dyDescent="0.3">
      <c r="C106" s="91" t="s">
        <v>6</v>
      </c>
      <c r="D106" s="110">
        <f>COUNT(E92:E95,G92:G95)</f>
        <v>6</v>
      </c>
      <c r="F106" s="93"/>
      <c r="G106" s="164"/>
      <c r="H106" s="165"/>
      <c r="I106" s="109"/>
    </row>
    <row r="107" spans="1:9" ht="19.5" customHeight="1" x14ac:dyDescent="0.3">
      <c r="A107" s="51"/>
      <c r="B107" s="51"/>
      <c r="C107" s="51"/>
      <c r="D107" s="51"/>
      <c r="E107" s="51"/>
    </row>
    <row r="108" spans="1:9" ht="26.25" customHeight="1" x14ac:dyDescent="0.4">
      <c r="A108" s="70" t="s">
        <v>77</v>
      </c>
      <c r="B108" s="193">
        <v>1000</v>
      </c>
      <c r="C108" s="111" t="s">
        <v>78</v>
      </c>
      <c r="D108" s="112" t="s">
        <v>35</v>
      </c>
      <c r="E108" s="113" t="s">
        <v>79</v>
      </c>
      <c r="F108" s="114" t="s">
        <v>80</v>
      </c>
    </row>
    <row r="109" spans="1:9" ht="26.25" customHeight="1" x14ac:dyDescent="0.4">
      <c r="A109" s="71" t="s">
        <v>64</v>
      </c>
      <c r="B109" s="194">
        <v>1</v>
      </c>
      <c r="C109" s="77">
        <v>1</v>
      </c>
      <c r="D109" s="401">
        <v>0.68600000000000005</v>
      </c>
      <c r="E109" s="115">
        <f>IF(ISBLANK(D109),"-",D109/$D$104*$D$101*$B$117)</f>
        <v>840.51552841388241</v>
      </c>
      <c r="F109" s="116">
        <f>IF(ISBLANK(D109), "-", E109/$B$56)</f>
        <v>0.98884179813397932</v>
      </c>
    </row>
    <row r="110" spans="1:9" ht="26.25" customHeight="1" x14ac:dyDescent="0.4">
      <c r="A110" s="71" t="s">
        <v>66</v>
      </c>
      <c r="B110" s="194">
        <v>100</v>
      </c>
      <c r="C110" s="77">
        <v>2</v>
      </c>
      <c r="D110" s="401">
        <v>0.67900000000000005</v>
      </c>
      <c r="E110" s="117">
        <f t="shared" ref="E110:E114" si="1">IF(ISBLANK(D110),"-",D110/$D$104*$D$101*$B$117)</f>
        <v>831.93883934843461</v>
      </c>
      <c r="F110" s="139">
        <f t="shared" ref="F110:F114" si="2">IF(ISBLANK(D110), "-", E110/$B$56)</f>
        <v>0.9787515757040407</v>
      </c>
    </row>
    <row r="111" spans="1:9" ht="26.25" customHeight="1" x14ac:dyDescent="0.4">
      <c r="A111" s="71" t="s">
        <v>67</v>
      </c>
      <c r="B111" s="194">
        <v>1</v>
      </c>
      <c r="C111" s="77">
        <v>3</v>
      </c>
      <c r="D111" s="401">
        <v>0.67600000000000005</v>
      </c>
      <c r="E111" s="117">
        <f t="shared" si="1"/>
        <v>828.26311546324268</v>
      </c>
      <c r="F111" s="139">
        <f>IF(ISBLANK(D111), "-", E111/$B$56)</f>
        <v>0.9744271946626385</v>
      </c>
    </row>
    <row r="112" spans="1:9" ht="26.25" customHeight="1" x14ac:dyDescent="0.4">
      <c r="A112" s="71" t="s">
        <v>68</v>
      </c>
      <c r="B112" s="194">
        <v>1</v>
      </c>
      <c r="C112" s="77">
        <v>4</v>
      </c>
      <c r="D112" s="401">
        <v>0.68600000000000005</v>
      </c>
      <c r="E112" s="117">
        <f t="shared" si="1"/>
        <v>840.51552841388241</v>
      </c>
      <c r="F112" s="139">
        <f t="shared" si="2"/>
        <v>0.98884179813397932</v>
      </c>
    </row>
    <row r="113" spans="1:9" ht="26.25" customHeight="1" x14ac:dyDescent="0.4">
      <c r="A113" s="71" t="s">
        <v>69</v>
      </c>
      <c r="B113" s="194">
        <v>1</v>
      </c>
      <c r="C113" s="77">
        <v>5</v>
      </c>
      <c r="D113" s="401">
        <v>0.69799999999999995</v>
      </c>
      <c r="E113" s="117">
        <f t="shared" si="1"/>
        <v>855.21842395464978</v>
      </c>
      <c r="F113" s="139">
        <f>IF(ISBLANK(D113), "-", E113/$B$56)</f>
        <v>1.006139322299588</v>
      </c>
    </row>
    <row r="114" spans="1:9" ht="26.25" customHeight="1" x14ac:dyDescent="0.4">
      <c r="A114" s="71" t="s">
        <v>71</v>
      </c>
      <c r="B114" s="194">
        <v>1</v>
      </c>
      <c r="C114" s="80">
        <v>6</v>
      </c>
      <c r="D114" s="402">
        <v>0.69799999999999995</v>
      </c>
      <c r="E114" s="118">
        <f t="shared" si="1"/>
        <v>855.21842395464978</v>
      </c>
      <c r="F114" s="140">
        <f t="shared" si="2"/>
        <v>1.006139322299588</v>
      </c>
    </row>
    <row r="115" spans="1:9" ht="26.25" customHeight="1" x14ac:dyDescent="0.4">
      <c r="A115" s="71" t="s">
        <v>72</v>
      </c>
      <c r="B115" s="194">
        <v>1</v>
      </c>
      <c r="C115" s="77"/>
      <c r="D115" s="103"/>
      <c r="E115" s="105"/>
      <c r="F115" s="119"/>
    </row>
    <row r="116" spans="1:9" ht="26.25" customHeight="1" x14ac:dyDescent="0.4">
      <c r="A116" s="71" t="s">
        <v>73</v>
      </c>
      <c r="B116" s="194">
        <v>1</v>
      </c>
      <c r="C116" s="77"/>
      <c r="D116" s="120"/>
      <c r="E116" s="121" t="s">
        <v>42</v>
      </c>
      <c r="F116" s="208">
        <f>AVERAGE(F109:F114)</f>
        <v>0.99052350187230231</v>
      </c>
    </row>
    <row r="117" spans="1:9" ht="27" customHeight="1" x14ac:dyDescent="0.4">
      <c r="A117" s="71" t="s">
        <v>74</v>
      </c>
      <c r="B117" s="169">
        <f>(B116/B115)*(B114/B113)*(B112/B111)*(B110/B109)*B108</f>
        <v>100000</v>
      </c>
      <c r="C117" s="122"/>
      <c r="D117" s="123"/>
      <c r="E117" s="124" t="s">
        <v>55</v>
      </c>
      <c r="F117" s="209">
        <f>STDEV(F109:F114)/F116</f>
        <v>1.3477122668563424E-2</v>
      </c>
    </row>
    <row r="118" spans="1:9" ht="27" customHeight="1" x14ac:dyDescent="0.4">
      <c r="A118" s="364" t="s">
        <v>49</v>
      </c>
      <c r="B118" s="365"/>
      <c r="C118" s="125"/>
      <c r="D118" s="126"/>
      <c r="E118" s="127" t="s">
        <v>6</v>
      </c>
      <c r="F118" s="210">
        <f>COUNT(F109:F114)</f>
        <v>6</v>
      </c>
      <c r="I118" s="109"/>
    </row>
    <row r="119" spans="1:9" ht="19.5" customHeight="1" x14ac:dyDescent="0.3">
      <c r="A119" s="366"/>
      <c r="B119" s="367"/>
      <c r="C119" s="105"/>
      <c r="D119" s="105"/>
      <c r="E119" s="105"/>
      <c r="F119" s="103"/>
      <c r="G119" s="105"/>
      <c r="H119" s="105"/>
    </row>
    <row r="120" spans="1:9" ht="18.75" x14ac:dyDescent="0.3">
      <c r="A120" s="68"/>
      <c r="B120" s="68"/>
      <c r="C120" s="105"/>
      <c r="D120" s="105"/>
      <c r="E120" s="105"/>
      <c r="F120" s="103"/>
      <c r="G120" s="105"/>
      <c r="H120" s="105"/>
    </row>
    <row r="121" spans="1:9" ht="26.25" customHeight="1" x14ac:dyDescent="0.4">
      <c r="A121" s="58" t="s">
        <v>58</v>
      </c>
      <c r="B121" s="187" t="s">
        <v>84</v>
      </c>
      <c r="C121" s="357" t="str">
        <f>B20</f>
        <v>Metformin HCl</v>
      </c>
      <c r="D121" s="357"/>
      <c r="E121" s="188" t="s">
        <v>85</v>
      </c>
      <c r="F121" s="188"/>
      <c r="G121" s="211">
        <f>F116</f>
        <v>0.99052350187230231</v>
      </c>
      <c r="H121" s="105"/>
    </row>
    <row r="122" spans="1:9" ht="18.75" x14ac:dyDescent="0.3">
      <c r="A122" s="68"/>
      <c r="B122" s="68"/>
      <c r="C122" s="105"/>
      <c r="D122" s="105"/>
      <c r="E122" s="105"/>
      <c r="F122" s="103"/>
      <c r="G122" s="105"/>
      <c r="H122" s="105"/>
    </row>
    <row r="123" spans="1:9" ht="19.5" customHeight="1" x14ac:dyDescent="0.3">
      <c r="A123" s="141"/>
      <c r="B123" s="141"/>
      <c r="C123" s="142"/>
      <c r="D123" s="142"/>
      <c r="E123" s="142"/>
      <c r="F123" s="142"/>
      <c r="G123" s="142"/>
      <c r="H123" s="142"/>
    </row>
    <row r="124" spans="1:9" ht="18.75" x14ac:dyDescent="0.3">
      <c r="B124" s="360" t="s">
        <v>7</v>
      </c>
      <c r="C124" s="360"/>
      <c r="E124" s="129" t="s">
        <v>8</v>
      </c>
      <c r="F124" s="156"/>
      <c r="G124" s="360" t="s">
        <v>9</v>
      </c>
      <c r="H124" s="360"/>
    </row>
    <row r="125" spans="1:9" ht="83.1" customHeight="1" x14ac:dyDescent="0.3">
      <c r="A125" s="157" t="s">
        <v>10</v>
      </c>
      <c r="B125" s="185"/>
      <c r="C125" s="185"/>
      <c r="E125" s="152"/>
      <c r="F125" s="105"/>
      <c r="G125" s="154"/>
      <c r="H125" s="154"/>
    </row>
    <row r="126" spans="1:9" ht="83.1" customHeight="1" x14ac:dyDescent="0.3">
      <c r="A126" s="157" t="s">
        <v>11</v>
      </c>
      <c r="B126" s="186"/>
      <c r="C126" s="186"/>
      <c r="E126" s="153"/>
      <c r="F126" s="105"/>
      <c r="G126" s="155"/>
      <c r="H126" s="155"/>
    </row>
    <row r="127" spans="1:9" ht="18.75" x14ac:dyDescent="0.3">
      <c r="A127" s="102"/>
      <c r="B127" s="102"/>
      <c r="C127" s="103"/>
      <c r="D127" s="103"/>
      <c r="E127" s="103"/>
      <c r="F127" s="104"/>
      <c r="G127" s="103"/>
      <c r="H127" s="103"/>
    </row>
    <row r="128" spans="1:9" ht="18.75" x14ac:dyDescent="0.3">
      <c r="A128" s="102"/>
      <c r="B128" s="102"/>
      <c r="C128" s="103"/>
      <c r="D128" s="103"/>
      <c r="E128" s="103"/>
      <c r="F128" s="104"/>
      <c r="G128" s="103"/>
      <c r="H128" s="103"/>
    </row>
    <row r="129" spans="1:8" ht="18.75" x14ac:dyDescent="0.3">
      <c r="A129" s="102"/>
      <c r="B129" s="102"/>
      <c r="C129" s="103"/>
      <c r="D129" s="103"/>
      <c r="E129" s="103"/>
      <c r="F129" s="104"/>
      <c r="G129" s="103"/>
      <c r="H129" s="103"/>
    </row>
    <row r="130" spans="1:8" ht="18.75" x14ac:dyDescent="0.3">
      <c r="A130" s="102"/>
      <c r="B130" s="102"/>
      <c r="C130" s="103"/>
      <c r="D130" s="103"/>
      <c r="E130" s="103"/>
      <c r="F130" s="104"/>
      <c r="G130" s="103"/>
      <c r="H130" s="103"/>
    </row>
    <row r="131" spans="1:8" ht="18.75" x14ac:dyDescent="0.3">
      <c r="A131" s="102"/>
      <c r="B131" s="102"/>
      <c r="C131" s="103"/>
      <c r="D131" s="103"/>
      <c r="E131" s="103"/>
      <c r="F131" s="104"/>
      <c r="G131" s="103"/>
      <c r="H131" s="103"/>
    </row>
    <row r="132" spans="1:8" ht="18.75" x14ac:dyDescent="0.3">
      <c r="A132" s="102"/>
      <c r="B132" s="102"/>
      <c r="C132" s="103"/>
      <c r="D132" s="103"/>
      <c r="E132" s="103"/>
      <c r="F132" s="104"/>
      <c r="G132" s="103"/>
      <c r="H132" s="103"/>
    </row>
    <row r="133" spans="1:8" ht="18.75" x14ac:dyDescent="0.3">
      <c r="A133" s="102"/>
      <c r="B133" s="102"/>
      <c r="C133" s="103"/>
      <c r="D133" s="103"/>
      <c r="E133" s="103"/>
      <c r="F133" s="104"/>
      <c r="G133" s="103"/>
      <c r="H133" s="103"/>
    </row>
    <row r="134" spans="1:8" ht="18.75" x14ac:dyDescent="0.3">
      <c r="A134" s="102"/>
      <c r="B134" s="102"/>
      <c r="C134" s="103"/>
      <c r="D134" s="103"/>
      <c r="E134" s="103"/>
      <c r="F134" s="104"/>
      <c r="G134" s="103"/>
      <c r="H134" s="103"/>
    </row>
    <row r="135" spans="1:8" ht="18.75" x14ac:dyDescent="0.3">
      <c r="A135" s="102"/>
      <c r="B135" s="102"/>
      <c r="C135" s="103"/>
      <c r="D135" s="103"/>
      <c r="E135" s="103"/>
      <c r="F135" s="104"/>
      <c r="G135" s="103"/>
      <c r="H135" s="103"/>
    </row>
    <row r="234" spans="1:1" x14ac:dyDescent="0.25">
      <c r="A234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9">
    <mergeCell ref="A1:H7"/>
    <mergeCell ref="A8:H14"/>
    <mergeCell ref="A16:H16"/>
    <mergeCell ref="C85:H85"/>
    <mergeCell ref="C86:H86"/>
    <mergeCell ref="B80:C80"/>
    <mergeCell ref="B26:C26"/>
    <mergeCell ref="B18:C18"/>
    <mergeCell ref="F90:G90"/>
    <mergeCell ref="A100:B101"/>
    <mergeCell ref="A118:B119"/>
    <mergeCell ref="A46:B47"/>
    <mergeCell ref="C83:G83"/>
    <mergeCell ref="A70:B71"/>
    <mergeCell ref="C76:D76"/>
    <mergeCell ref="B124:C124"/>
    <mergeCell ref="G124:H124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C121:D121"/>
  </mergeCells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Footer>&amp;LNQCL/ADDO/014&amp;C&amp;P of &amp;N&amp;R&amp;D &amp;T</oddFooter>
  </headerFooter>
  <rowBreaks count="1" manualBreakCount="1">
    <brk id="12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"/>
  <sheetViews>
    <sheetView tabSelected="1" view="pageLayout" topLeftCell="A82" zoomScale="50" zoomScaleNormal="75" zoomScalePageLayoutView="50" workbookViewId="0">
      <selection activeCell="H48" sqref="H48"/>
    </sheetView>
  </sheetViews>
  <sheetFormatPr defaultRowHeight="13.5" x14ac:dyDescent="0.25"/>
  <cols>
    <col min="1" max="1" width="55.42578125" style="330" customWidth="1"/>
    <col min="2" max="2" width="33.7109375" style="330" customWidth="1"/>
    <col min="3" max="3" width="42.28515625" style="330" customWidth="1"/>
    <col min="4" max="4" width="30.5703125" style="330" customWidth="1"/>
    <col min="5" max="5" width="39.85546875" style="330" customWidth="1"/>
    <col min="6" max="6" width="30.7109375" style="330" customWidth="1"/>
    <col min="7" max="7" width="39.85546875" style="330" customWidth="1"/>
    <col min="8" max="8" width="41.140625" style="330" customWidth="1"/>
    <col min="9" max="9" width="30.42578125" style="330" customWidth="1"/>
    <col min="10" max="10" width="21.28515625" style="330" customWidth="1"/>
    <col min="11" max="11" width="9.140625" style="330" customWidth="1"/>
    <col min="12" max="16384" width="9.140625" style="4"/>
  </cols>
  <sheetData>
    <row r="1" spans="1:8" x14ac:dyDescent="0.25">
      <c r="A1" s="355" t="s">
        <v>12</v>
      </c>
      <c r="B1" s="355"/>
      <c r="C1" s="355"/>
      <c r="D1" s="355"/>
      <c r="E1" s="355"/>
      <c r="F1" s="355"/>
      <c r="G1" s="355"/>
      <c r="H1" s="355"/>
    </row>
    <row r="2" spans="1:8" x14ac:dyDescent="0.25">
      <c r="A2" s="355"/>
      <c r="B2" s="355"/>
      <c r="C2" s="355"/>
      <c r="D2" s="355"/>
      <c r="E2" s="355"/>
      <c r="F2" s="355"/>
      <c r="G2" s="355"/>
      <c r="H2" s="355"/>
    </row>
    <row r="3" spans="1:8" x14ac:dyDescent="0.25">
      <c r="A3" s="355"/>
      <c r="B3" s="355"/>
      <c r="C3" s="355"/>
      <c r="D3" s="355"/>
      <c r="E3" s="355"/>
      <c r="F3" s="355"/>
      <c r="G3" s="355"/>
      <c r="H3" s="355"/>
    </row>
    <row r="4" spans="1:8" x14ac:dyDescent="0.25">
      <c r="A4" s="355"/>
      <c r="B4" s="355"/>
      <c r="C4" s="355"/>
      <c r="D4" s="355"/>
      <c r="E4" s="355"/>
      <c r="F4" s="355"/>
      <c r="G4" s="355"/>
      <c r="H4" s="355"/>
    </row>
    <row r="5" spans="1:8" x14ac:dyDescent="0.25">
      <c r="A5" s="355"/>
      <c r="B5" s="355"/>
      <c r="C5" s="355"/>
      <c r="D5" s="355"/>
      <c r="E5" s="355"/>
      <c r="F5" s="355"/>
      <c r="G5" s="355"/>
      <c r="H5" s="355"/>
    </row>
    <row r="6" spans="1:8" x14ac:dyDescent="0.25">
      <c r="A6" s="355"/>
      <c r="B6" s="355"/>
      <c r="C6" s="355"/>
      <c r="D6" s="355"/>
      <c r="E6" s="355"/>
      <c r="F6" s="355"/>
      <c r="G6" s="355"/>
      <c r="H6" s="355"/>
    </row>
    <row r="7" spans="1:8" x14ac:dyDescent="0.25">
      <c r="A7" s="355"/>
      <c r="B7" s="355"/>
      <c r="C7" s="355"/>
      <c r="D7" s="355"/>
      <c r="E7" s="355"/>
      <c r="F7" s="355"/>
      <c r="G7" s="355"/>
      <c r="H7" s="355"/>
    </row>
    <row r="8" spans="1:8" x14ac:dyDescent="0.25">
      <c r="A8" s="356" t="s">
        <v>13</v>
      </c>
      <c r="B8" s="356"/>
      <c r="C8" s="356"/>
      <c r="D8" s="356"/>
      <c r="E8" s="356"/>
      <c r="F8" s="356"/>
      <c r="G8" s="356"/>
      <c r="H8" s="356"/>
    </row>
    <row r="9" spans="1:8" x14ac:dyDescent="0.25">
      <c r="A9" s="356"/>
      <c r="B9" s="356"/>
      <c r="C9" s="356"/>
      <c r="D9" s="356"/>
      <c r="E9" s="356"/>
      <c r="F9" s="356"/>
      <c r="G9" s="356"/>
      <c r="H9" s="356"/>
    </row>
    <row r="10" spans="1:8" x14ac:dyDescent="0.25">
      <c r="A10" s="356"/>
      <c r="B10" s="356"/>
      <c r="C10" s="356"/>
      <c r="D10" s="356"/>
      <c r="E10" s="356"/>
      <c r="F10" s="356"/>
      <c r="G10" s="356"/>
      <c r="H10" s="356"/>
    </row>
    <row r="11" spans="1:8" x14ac:dyDescent="0.25">
      <c r="A11" s="356"/>
      <c r="B11" s="356"/>
      <c r="C11" s="356"/>
      <c r="D11" s="356"/>
      <c r="E11" s="356"/>
      <c r="F11" s="356"/>
      <c r="G11" s="356"/>
      <c r="H11" s="356"/>
    </row>
    <row r="12" spans="1:8" x14ac:dyDescent="0.25">
      <c r="A12" s="356"/>
      <c r="B12" s="356"/>
      <c r="C12" s="356"/>
      <c r="D12" s="356"/>
      <c r="E12" s="356"/>
      <c r="F12" s="356"/>
      <c r="G12" s="356"/>
      <c r="H12" s="356"/>
    </row>
    <row r="13" spans="1:8" x14ac:dyDescent="0.25">
      <c r="A13" s="356"/>
      <c r="B13" s="356"/>
      <c r="C13" s="356"/>
      <c r="D13" s="356"/>
      <c r="E13" s="356"/>
      <c r="F13" s="356"/>
      <c r="G13" s="356"/>
      <c r="H13" s="356"/>
    </row>
    <row r="14" spans="1:8" x14ac:dyDescent="0.25">
      <c r="A14" s="356"/>
      <c r="B14" s="356"/>
      <c r="C14" s="356"/>
      <c r="D14" s="356"/>
      <c r="E14" s="356"/>
      <c r="F14" s="356"/>
      <c r="G14" s="356"/>
      <c r="H14" s="356"/>
    </row>
    <row r="15" spans="1:8" ht="19.5" customHeight="1" thickBot="1" x14ac:dyDescent="0.3"/>
    <row r="16" spans="1:8" ht="19.5" customHeight="1" thickBot="1" x14ac:dyDescent="0.3">
      <c r="A16" s="394" t="s">
        <v>14</v>
      </c>
      <c r="B16" s="395"/>
      <c r="C16" s="395"/>
      <c r="D16" s="395"/>
      <c r="E16" s="395"/>
      <c r="F16" s="395"/>
      <c r="G16" s="395"/>
      <c r="H16" s="396"/>
    </row>
    <row r="17" spans="1:13" ht="18.75" x14ac:dyDescent="0.3">
      <c r="A17" s="341" t="s">
        <v>15</v>
      </c>
      <c r="B17" s="341"/>
    </row>
    <row r="18" spans="1:13" ht="18.75" x14ac:dyDescent="0.3">
      <c r="A18" s="214" t="s">
        <v>16</v>
      </c>
      <c r="B18" s="397" t="s">
        <v>100</v>
      </c>
      <c r="C18" s="397"/>
      <c r="D18" s="292"/>
      <c r="E18" s="292"/>
    </row>
    <row r="19" spans="1:13" ht="18.75" x14ac:dyDescent="0.3">
      <c r="A19" s="214" t="s">
        <v>17</v>
      </c>
      <c r="B19" s="249" t="s">
        <v>101</v>
      </c>
      <c r="C19" s="290">
        <v>15</v>
      </c>
    </row>
    <row r="20" spans="1:13" ht="18.75" x14ac:dyDescent="0.3">
      <c r="A20" s="214" t="s">
        <v>18</v>
      </c>
      <c r="B20" s="249" t="s">
        <v>98</v>
      </c>
    </row>
    <row r="21" spans="1:13" ht="18.75" x14ac:dyDescent="0.3">
      <c r="A21" s="214" t="s">
        <v>19</v>
      </c>
      <c r="B21" s="261" t="s">
        <v>102</v>
      </c>
      <c r="C21" s="261"/>
      <c r="D21" s="261"/>
      <c r="E21" s="261"/>
      <c r="F21" s="261"/>
      <c r="G21" s="261"/>
      <c r="H21" s="261"/>
    </row>
    <row r="22" spans="1:13" ht="18.75" x14ac:dyDescent="0.3">
      <c r="A22" s="214" t="s">
        <v>20</v>
      </c>
      <c r="B22" s="250"/>
    </row>
    <row r="23" spans="1:13" ht="18.75" x14ac:dyDescent="0.3">
      <c r="A23" s="214" t="s">
        <v>21</v>
      </c>
      <c r="B23" s="250"/>
    </row>
    <row r="24" spans="1:13" ht="18.75" x14ac:dyDescent="0.3">
      <c r="A24" s="214"/>
      <c r="B24" s="216"/>
    </row>
    <row r="25" spans="1:13" ht="18.75" x14ac:dyDescent="0.3">
      <c r="A25" s="307" t="s">
        <v>0</v>
      </c>
      <c r="B25" s="216"/>
    </row>
    <row r="26" spans="1:13" ht="26.25" customHeight="1" x14ac:dyDescent="0.4">
      <c r="A26" s="308" t="s">
        <v>1</v>
      </c>
      <c r="B26" s="368" t="s">
        <v>98</v>
      </c>
      <c r="C26" s="368"/>
    </row>
    <row r="27" spans="1:13" ht="26.25" customHeight="1" x14ac:dyDescent="0.4">
      <c r="A27" s="321" t="s">
        <v>22</v>
      </c>
      <c r="B27" s="271" t="s">
        <v>99</v>
      </c>
    </row>
    <row r="28" spans="1:13" ht="27" customHeight="1" thickBot="1" x14ac:dyDescent="0.45">
      <c r="A28" s="321" t="s">
        <v>3</v>
      </c>
      <c r="B28" s="271">
        <v>99.52</v>
      </c>
    </row>
    <row r="29" spans="1:13" s="28" customFormat="1" ht="27" customHeight="1" thickBot="1" x14ac:dyDescent="0.45">
      <c r="A29" s="321" t="s">
        <v>23</v>
      </c>
      <c r="B29" s="271">
        <v>0</v>
      </c>
      <c r="C29" s="369" t="s">
        <v>82</v>
      </c>
      <c r="D29" s="370"/>
      <c r="E29" s="370"/>
      <c r="F29" s="370"/>
      <c r="G29" s="371"/>
      <c r="I29" s="294"/>
      <c r="J29" s="294"/>
      <c r="K29" s="294"/>
    </row>
    <row r="30" spans="1:13" s="28" customFormat="1" ht="19.5" customHeight="1" thickBot="1" x14ac:dyDescent="0.35">
      <c r="A30" s="321" t="s">
        <v>24</v>
      </c>
      <c r="B30" s="309">
        <f>B28-B29</f>
        <v>99.52</v>
      </c>
      <c r="C30" s="310"/>
      <c r="D30" s="310"/>
      <c r="E30" s="310"/>
      <c r="F30" s="310"/>
      <c r="G30" s="311"/>
      <c r="I30" s="294"/>
      <c r="J30" s="294"/>
      <c r="K30" s="294"/>
    </row>
    <row r="31" spans="1:13" s="28" customFormat="1" ht="27" customHeight="1" thickBot="1" x14ac:dyDescent="0.45">
      <c r="A31" s="321" t="s">
        <v>25</v>
      </c>
      <c r="B31" s="272">
        <v>1</v>
      </c>
      <c r="C31" s="361" t="s">
        <v>26</v>
      </c>
      <c r="D31" s="362"/>
      <c r="E31" s="362"/>
      <c r="F31" s="362"/>
      <c r="G31" s="362"/>
      <c r="H31" s="363"/>
      <c r="I31" s="294"/>
      <c r="J31" s="294"/>
      <c r="K31" s="294"/>
    </row>
    <row r="32" spans="1:13" s="28" customFormat="1" ht="27" customHeight="1" thickBot="1" x14ac:dyDescent="0.45">
      <c r="A32" s="321" t="s">
        <v>27</v>
      </c>
      <c r="B32" s="272">
        <v>1</v>
      </c>
      <c r="C32" s="361" t="s">
        <v>28</v>
      </c>
      <c r="D32" s="362"/>
      <c r="E32" s="362"/>
      <c r="F32" s="362"/>
      <c r="G32" s="362"/>
      <c r="H32" s="363"/>
      <c r="I32" s="294"/>
      <c r="J32" s="294"/>
      <c r="K32" s="295"/>
      <c r="L32" s="295"/>
      <c r="M32" s="296"/>
    </row>
    <row r="33" spans="1:13" s="28" customFormat="1" ht="17.25" customHeight="1" x14ac:dyDescent="0.3">
      <c r="A33" s="321"/>
      <c r="B33" s="217"/>
      <c r="C33" s="297"/>
      <c r="D33" s="297"/>
      <c r="E33" s="297"/>
      <c r="F33" s="297"/>
      <c r="G33" s="297"/>
      <c r="H33" s="297"/>
      <c r="I33" s="294"/>
      <c r="J33" s="294"/>
      <c r="K33" s="295"/>
      <c r="L33" s="295"/>
      <c r="M33" s="296"/>
    </row>
    <row r="34" spans="1:13" s="28" customFormat="1" ht="18.75" x14ac:dyDescent="0.3">
      <c r="A34" s="321" t="s">
        <v>29</v>
      </c>
      <c r="B34" s="218">
        <f>B31/B32</f>
        <v>1</v>
      </c>
      <c r="C34" s="298" t="s">
        <v>30</v>
      </c>
      <c r="D34" s="298"/>
      <c r="E34" s="298"/>
      <c r="F34" s="298"/>
      <c r="G34" s="298"/>
      <c r="I34" s="294"/>
      <c r="J34" s="294"/>
      <c r="K34" s="295"/>
      <c r="L34" s="295"/>
      <c r="M34" s="296"/>
    </row>
    <row r="35" spans="1:13" s="28" customFormat="1" ht="19.5" customHeight="1" thickBot="1" x14ac:dyDescent="0.35">
      <c r="A35" s="321"/>
      <c r="B35" s="309"/>
      <c r="G35" s="298"/>
      <c r="I35" s="294"/>
      <c r="J35" s="294"/>
      <c r="K35" s="295"/>
      <c r="L35" s="295"/>
      <c r="M35" s="296"/>
    </row>
    <row r="36" spans="1:13" s="28" customFormat="1" ht="27" customHeight="1" thickBot="1" x14ac:dyDescent="0.45">
      <c r="A36" s="312" t="s">
        <v>92</v>
      </c>
      <c r="B36" s="273">
        <v>100</v>
      </c>
      <c r="C36" s="298"/>
      <c r="D36" s="358" t="s">
        <v>31</v>
      </c>
      <c r="E36" s="389"/>
      <c r="F36" s="358" t="s">
        <v>32</v>
      </c>
      <c r="G36" s="359"/>
      <c r="I36" s="294"/>
      <c r="J36" s="294"/>
      <c r="K36" s="295"/>
      <c r="L36" s="295"/>
      <c r="M36" s="296"/>
    </row>
    <row r="37" spans="1:13" s="28" customFormat="1" ht="26.25" customHeight="1" x14ac:dyDescent="0.4">
      <c r="A37" s="313" t="s">
        <v>33</v>
      </c>
      <c r="B37" s="274">
        <v>5</v>
      </c>
      <c r="C37" s="220" t="s">
        <v>83</v>
      </c>
      <c r="D37" s="221" t="s">
        <v>35</v>
      </c>
      <c r="E37" s="243" t="s">
        <v>36</v>
      </c>
      <c r="F37" s="221" t="s">
        <v>35</v>
      </c>
      <c r="G37" s="315" t="s">
        <v>36</v>
      </c>
      <c r="I37" s="294"/>
      <c r="J37" s="294"/>
      <c r="K37" s="295"/>
      <c r="L37" s="295"/>
      <c r="M37" s="296"/>
    </row>
    <row r="38" spans="1:13" s="28" customFormat="1" ht="26.25" customHeight="1" x14ac:dyDescent="0.4">
      <c r="A38" s="313" t="s">
        <v>37</v>
      </c>
      <c r="B38" s="274">
        <v>100</v>
      </c>
      <c r="C38" s="222">
        <v>1</v>
      </c>
      <c r="D38" s="275">
        <v>0.78500000000000003</v>
      </c>
      <c r="E38" s="251">
        <f>IF(ISBLANK(D38),"-",$D$48/$D$45*D38)</f>
        <v>0.80529471529702967</v>
      </c>
      <c r="F38" s="275">
        <v>0.84199999999999997</v>
      </c>
      <c r="G38" s="317">
        <f>IF(ISBLANK(F38),"-",$D$48/$F$45*F38)</f>
        <v>0.80924064394795636</v>
      </c>
      <c r="I38" s="294"/>
      <c r="J38" s="294"/>
      <c r="K38" s="295"/>
      <c r="L38" s="295"/>
      <c r="M38" s="296"/>
    </row>
    <row r="39" spans="1:13" s="28" customFormat="1" ht="26.25" customHeight="1" x14ac:dyDescent="0.4">
      <c r="A39" s="313" t="s">
        <v>38</v>
      </c>
      <c r="B39" s="274">
        <v>1</v>
      </c>
      <c r="C39" s="219">
        <v>2</v>
      </c>
      <c r="D39" s="276">
        <v>0.78400000000000003</v>
      </c>
      <c r="E39" s="252">
        <f>IF(ISBLANK(D39),"-",$D$48/$D$45*D39)</f>
        <v>0.80426886215652393</v>
      </c>
      <c r="F39" s="276">
        <v>0.84199999999999997</v>
      </c>
      <c r="G39" s="318">
        <f>IF(ISBLANK(F39),"-",$D$48/$F$45*F39)</f>
        <v>0.80924064394795636</v>
      </c>
      <c r="I39" s="294"/>
      <c r="J39" s="294"/>
      <c r="K39" s="295"/>
      <c r="L39" s="295"/>
      <c r="M39" s="296"/>
    </row>
    <row r="40" spans="1:13" ht="26.25" customHeight="1" x14ac:dyDescent="0.4">
      <c r="A40" s="313" t="s">
        <v>39</v>
      </c>
      <c r="B40" s="274">
        <v>1</v>
      </c>
      <c r="C40" s="219">
        <v>3</v>
      </c>
      <c r="D40" s="276">
        <v>0.78500000000000003</v>
      </c>
      <c r="E40" s="252">
        <f>IF(ISBLANK(D40),"-",$D$48/$D$45*D40)</f>
        <v>0.80529471529702967</v>
      </c>
      <c r="F40" s="276">
        <v>0.84299999999999997</v>
      </c>
      <c r="G40" s="318">
        <f>IF(ISBLANK(F40),"-",$D$48/$F$45*F40)</f>
        <v>0.81020173734931977</v>
      </c>
      <c r="K40" s="295"/>
      <c r="L40" s="295"/>
      <c r="M40" s="298"/>
    </row>
    <row r="41" spans="1:13" ht="26.25" customHeight="1" x14ac:dyDescent="0.4">
      <c r="A41" s="313" t="s">
        <v>40</v>
      </c>
      <c r="B41" s="274">
        <v>1</v>
      </c>
      <c r="C41" s="223">
        <v>4</v>
      </c>
      <c r="D41" s="277"/>
      <c r="E41" s="253" t="str">
        <f>IF(ISBLANK(D41),"-",$D$48/$D$45*D41)</f>
        <v>-</v>
      </c>
      <c r="F41" s="277"/>
      <c r="G41" s="320" t="str">
        <f>IF(ISBLANK(F41),"-",$D$48/$F$45*F41)</f>
        <v>-</v>
      </c>
      <c r="K41" s="295"/>
      <c r="L41" s="295"/>
      <c r="M41" s="298"/>
    </row>
    <row r="42" spans="1:13" ht="27" customHeight="1" thickBot="1" x14ac:dyDescent="0.45">
      <c r="A42" s="313" t="s">
        <v>41</v>
      </c>
      <c r="B42" s="274">
        <v>1</v>
      </c>
      <c r="C42" s="224" t="s">
        <v>42</v>
      </c>
      <c r="D42" s="404">
        <f>AVERAGE(D38:D41)</f>
        <v>0.78466666666666673</v>
      </c>
      <c r="E42" s="233">
        <f>AVERAGE(E38:E41)</f>
        <v>0.80495276425019435</v>
      </c>
      <c r="F42" s="405">
        <f>AVERAGE(F38:F41)</f>
        <v>0.84233333333333338</v>
      </c>
      <c r="G42" s="350">
        <f>AVERAGE(G38:G41)</f>
        <v>0.8095610084150775</v>
      </c>
      <c r="H42" s="331"/>
    </row>
    <row r="43" spans="1:13" ht="26.25" customHeight="1" x14ac:dyDescent="0.4">
      <c r="A43" s="313" t="s">
        <v>43</v>
      </c>
      <c r="B43" s="271">
        <v>1</v>
      </c>
      <c r="C43" s="322" t="s">
        <v>44</v>
      </c>
      <c r="D43" s="278">
        <v>19.59</v>
      </c>
      <c r="E43" s="298"/>
      <c r="F43" s="279">
        <v>20.91</v>
      </c>
      <c r="H43" s="331"/>
    </row>
    <row r="44" spans="1:13" ht="26.25" customHeight="1" x14ac:dyDescent="0.4">
      <c r="A44" s="313" t="s">
        <v>45</v>
      </c>
      <c r="B44" s="271">
        <v>1</v>
      </c>
      <c r="C44" s="323" t="s">
        <v>46</v>
      </c>
      <c r="D44" s="324">
        <f>D43*$B$34</f>
        <v>19.59</v>
      </c>
      <c r="E44" s="325"/>
      <c r="F44" s="326">
        <f>F43*$B$34</f>
        <v>20.91</v>
      </c>
      <c r="H44" s="331"/>
    </row>
    <row r="45" spans="1:13" ht="19.5" customHeight="1" thickBot="1" x14ac:dyDescent="0.35">
      <c r="A45" s="313" t="s">
        <v>47</v>
      </c>
      <c r="B45" s="309">
        <f>(B44/B43)*(B42/B41)*(B40/B39)*(B38/B37)*B36</f>
        <v>2000</v>
      </c>
      <c r="C45" s="323" t="s">
        <v>48</v>
      </c>
      <c r="D45" s="332">
        <f>D44*$B$30/100</f>
        <v>19.495967999999998</v>
      </c>
      <c r="E45" s="327"/>
      <c r="F45" s="328">
        <f>F44*$B$30/100</f>
        <v>20.809632000000001</v>
      </c>
      <c r="H45" s="331"/>
    </row>
    <row r="46" spans="1:13" ht="19.5" customHeight="1" thickBot="1" x14ac:dyDescent="0.35">
      <c r="A46" s="364" t="s">
        <v>49</v>
      </c>
      <c r="B46" s="379"/>
      <c r="C46" s="323" t="s">
        <v>50</v>
      </c>
      <c r="D46" s="324">
        <f>D45/$B$45</f>
        <v>9.7479839999999995E-3</v>
      </c>
      <c r="E46" s="327"/>
      <c r="F46" s="329">
        <f>F45/$B$45</f>
        <v>1.0404816000000001E-2</v>
      </c>
      <c r="H46" s="331"/>
    </row>
    <row r="47" spans="1:13" ht="27" customHeight="1" thickBot="1" x14ac:dyDescent="0.45">
      <c r="A47" s="366"/>
      <c r="B47" s="380"/>
      <c r="C47" s="323" t="s">
        <v>51</v>
      </c>
      <c r="D47" s="280">
        <v>0.01</v>
      </c>
      <c r="F47" s="333"/>
      <c r="H47" s="331"/>
    </row>
    <row r="48" spans="1:13" ht="18.75" x14ac:dyDescent="0.3">
      <c r="C48" s="323" t="s">
        <v>52</v>
      </c>
      <c r="D48" s="324">
        <f>D47*$B$45</f>
        <v>20</v>
      </c>
      <c r="F48" s="333"/>
      <c r="H48" s="331"/>
    </row>
    <row r="49" spans="1:11" ht="19.5" customHeight="1" thickBot="1" x14ac:dyDescent="0.35">
      <c r="C49" s="263" t="s">
        <v>53</v>
      </c>
      <c r="D49" s="267">
        <f>D48/B34</f>
        <v>20</v>
      </c>
      <c r="F49" s="334"/>
      <c r="H49" s="331"/>
    </row>
    <row r="50" spans="1:11" ht="18.75" x14ac:dyDescent="0.3">
      <c r="C50" s="264" t="s">
        <v>54</v>
      </c>
      <c r="D50" s="265">
        <f>AVERAGE(E38:E41,G38:G41)</f>
        <v>0.80725688633263593</v>
      </c>
      <c r="F50" s="334"/>
      <c r="H50" s="331"/>
    </row>
    <row r="51" spans="1:11" ht="18.75" x14ac:dyDescent="0.3">
      <c r="C51" s="337" t="s">
        <v>55</v>
      </c>
      <c r="D51" s="225">
        <f>STDEV(E38:E41,G38:G41)/D50</f>
        <v>3.1906869060219657E-3</v>
      </c>
      <c r="F51" s="334"/>
    </row>
    <row r="52" spans="1:11" ht="19.5" customHeight="1" thickBot="1" x14ac:dyDescent="0.35">
      <c r="C52" s="339" t="s">
        <v>6</v>
      </c>
      <c r="D52" s="226">
        <f>COUNT(E38:E41,G38:G41)</f>
        <v>6</v>
      </c>
      <c r="F52" s="334"/>
    </row>
    <row r="54" spans="1:11" ht="18.75" x14ac:dyDescent="0.3">
      <c r="A54" s="341" t="s">
        <v>0</v>
      </c>
      <c r="B54" s="227" t="s">
        <v>56</v>
      </c>
    </row>
    <row r="55" spans="1:11" ht="18.75" x14ac:dyDescent="0.3">
      <c r="A55" s="298" t="s">
        <v>57</v>
      </c>
      <c r="B55" s="215" t="str">
        <f>B21</f>
        <v>Each Tablet contains Metformin HCl 850 mg</v>
      </c>
    </row>
    <row r="56" spans="1:11" ht="26.25" customHeight="1" x14ac:dyDescent="0.4">
      <c r="A56" s="215" t="s">
        <v>93</v>
      </c>
      <c r="B56" s="271">
        <v>850</v>
      </c>
      <c r="C56" s="298" t="str">
        <f>B20</f>
        <v>Metformin HCl</v>
      </c>
      <c r="H56" s="325"/>
    </row>
    <row r="57" spans="1:11" ht="18.75" x14ac:dyDescent="0.3">
      <c r="A57" s="215" t="s">
        <v>94</v>
      </c>
      <c r="B57" s="291">
        <f>Uniformity!C46</f>
        <v>889.45649999999989</v>
      </c>
      <c r="H57" s="325"/>
    </row>
    <row r="58" spans="1:11" ht="19.5" customHeight="1" thickBot="1" x14ac:dyDescent="0.35">
      <c r="H58" s="325"/>
    </row>
    <row r="59" spans="1:11" s="28" customFormat="1" ht="27" customHeight="1" thickBot="1" x14ac:dyDescent="0.45">
      <c r="A59" s="312" t="s">
        <v>95</v>
      </c>
      <c r="B59" s="273">
        <v>100</v>
      </c>
      <c r="C59" s="298"/>
      <c r="D59" s="229" t="s">
        <v>61</v>
      </c>
      <c r="E59" s="228" t="s">
        <v>34</v>
      </c>
      <c r="F59" s="228" t="s">
        <v>35</v>
      </c>
      <c r="G59" s="228" t="s">
        <v>62</v>
      </c>
      <c r="H59" s="220" t="s">
        <v>63</v>
      </c>
      <c r="K59" s="294"/>
    </row>
    <row r="60" spans="1:11" s="28" customFormat="1" ht="22.5" customHeight="1" x14ac:dyDescent="0.4">
      <c r="A60" s="313" t="s">
        <v>64</v>
      </c>
      <c r="B60" s="274">
        <v>1</v>
      </c>
      <c r="C60" s="373" t="s">
        <v>65</v>
      </c>
      <c r="D60" s="376">
        <v>107.97</v>
      </c>
      <c r="E60" s="230">
        <v>1</v>
      </c>
      <c r="F60" s="282">
        <v>0.77900000000000003</v>
      </c>
      <c r="G60" s="244">
        <f>IF(ISBLANK(F60),"-",(F60/$D$50*$D$47*$B$68)*($B$57/$D$60))</f>
        <v>794.9637236005567</v>
      </c>
      <c r="H60" s="301">
        <f t="shared" ref="H60:H71" si="0">IF(ISBLANK(F60),"-",G60/$B$56)</f>
        <v>0.93525143953006673</v>
      </c>
      <c r="K60" s="294"/>
    </row>
    <row r="61" spans="1:11" s="28" customFormat="1" ht="26.25" customHeight="1" x14ac:dyDescent="0.4">
      <c r="A61" s="313" t="s">
        <v>66</v>
      </c>
      <c r="B61" s="274">
        <v>100</v>
      </c>
      <c r="C61" s="372"/>
      <c r="D61" s="377"/>
      <c r="E61" s="231">
        <v>2</v>
      </c>
      <c r="F61" s="276">
        <v>0.78</v>
      </c>
      <c r="G61" s="245">
        <f>IF(ISBLANK(F61),"-",(F61/$D$50*$D$47*$B$68)*($B$57/$D$60))</f>
        <v>795.98421618540976</v>
      </c>
      <c r="H61" s="302">
        <f t="shared" si="0"/>
        <v>0.93645201904165853</v>
      </c>
      <c r="K61" s="294"/>
    </row>
    <row r="62" spans="1:11" s="28" customFormat="1" ht="26.25" customHeight="1" x14ac:dyDescent="0.4">
      <c r="A62" s="313" t="s">
        <v>67</v>
      </c>
      <c r="B62" s="274">
        <v>1</v>
      </c>
      <c r="C62" s="372"/>
      <c r="D62" s="377"/>
      <c r="E62" s="231">
        <v>3</v>
      </c>
      <c r="F62" s="276">
        <v>0.78</v>
      </c>
      <c r="G62" s="245">
        <f>IF(ISBLANK(F62),"-",(F62/$D$50*$D$47*$B$68)*($B$57/$D$60))</f>
        <v>795.98421618540976</v>
      </c>
      <c r="H62" s="302">
        <f t="shared" si="0"/>
        <v>0.93645201904165853</v>
      </c>
      <c r="K62" s="294"/>
    </row>
    <row r="63" spans="1:11" ht="21" customHeight="1" thickBot="1" x14ac:dyDescent="0.45">
      <c r="A63" s="313" t="s">
        <v>68</v>
      </c>
      <c r="B63" s="274">
        <v>1</v>
      </c>
      <c r="C63" s="374"/>
      <c r="D63" s="378"/>
      <c r="E63" s="232">
        <v>4</v>
      </c>
      <c r="F63" s="283"/>
      <c r="G63" s="245" t="str">
        <f>IF(ISBLANK(F63),"-",(F63/$D$50*$D$47*$B$68)*($B$57/$D$60))</f>
        <v>-</v>
      </c>
      <c r="H63" s="302" t="str">
        <f t="shared" si="0"/>
        <v>-</v>
      </c>
    </row>
    <row r="64" spans="1:11" ht="26.25" customHeight="1" x14ac:dyDescent="0.4">
      <c r="A64" s="313" t="s">
        <v>69</v>
      </c>
      <c r="B64" s="274">
        <v>1</v>
      </c>
      <c r="C64" s="373" t="s">
        <v>70</v>
      </c>
      <c r="D64" s="376">
        <v>101.51</v>
      </c>
      <c r="E64" s="230">
        <v>1</v>
      </c>
      <c r="F64" s="282">
        <v>0.73499999999999999</v>
      </c>
      <c r="G64" s="258">
        <f>IF(ISBLANK(F64),"-",(F64/$D$50*$D$47*$B$68)*($B$57/$D$64))</f>
        <v>797.7952864165328</v>
      </c>
      <c r="H64" s="304">
        <f t="shared" si="0"/>
        <v>0.93858268990180327</v>
      </c>
    </row>
    <row r="65" spans="1:8" ht="26.25" customHeight="1" x14ac:dyDescent="0.4">
      <c r="A65" s="313" t="s">
        <v>71</v>
      </c>
      <c r="B65" s="274">
        <v>1</v>
      </c>
      <c r="C65" s="372"/>
      <c r="D65" s="377"/>
      <c r="E65" s="231">
        <v>2</v>
      </c>
      <c r="F65" s="276">
        <v>0.73099999999999998</v>
      </c>
      <c r="G65" s="259">
        <f>IF(ISBLANK(F65),"-",(F65/$D$50*$D$47*$B$68)*($B$57/$D$64))</f>
        <v>793.45354336120465</v>
      </c>
      <c r="H65" s="305">
        <f t="shared" si="0"/>
        <v>0.93347475689553483</v>
      </c>
    </row>
    <row r="66" spans="1:8" ht="26.25" customHeight="1" x14ac:dyDescent="0.4">
      <c r="A66" s="313" t="s">
        <v>72</v>
      </c>
      <c r="B66" s="274">
        <v>1</v>
      </c>
      <c r="C66" s="372"/>
      <c r="D66" s="377"/>
      <c r="E66" s="231">
        <v>3</v>
      </c>
      <c r="F66" s="276">
        <v>0.73199999999999998</v>
      </c>
      <c r="G66" s="259">
        <f>IF(ISBLANK(F66),"-",(F66/$D$50*$D$47*$B$68)*($B$57/$D$64))</f>
        <v>794.53897912503658</v>
      </c>
      <c r="H66" s="305">
        <f t="shared" si="0"/>
        <v>0.93475174014710183</v>
      </c>
    </row>
    <row r="67" spans="1:8" ht="21" customHeight="1" thickBot="1" x14ac:dyDescent="0.45">
      <c r="A67" s="313" t="s">
        <v>73</v>
      </c>
      <c r="B67" s="274">
        <v>1</v>
      </c>
      <c r="C67" s="374"/>
      <c r="D67" s="378"/>
      <c r="E67" s="232">
        <v>4</v>
      </c>
      <c r="F67" s="283"/>
      <c r="G67" s="260" t="str">
        <f>IF(ISBLANK(F67),"-",(F67/$D$50*$D$47*$B$68)*($B$57/$D$64))</f>
        <v>-</v>
      </c>
      <c r="H67" s="306" t="str">
        <f t="shared" si="0"/>
        <v>-</v>
      </c>
    </row>
    <row r="68" spans="1:8" ht="21.75" customHeight="1" x14ac:dyDescent="0.4">
      <c r="A68" s="313" t="s">
        <v>74</v>
      </c>
      <c r="B68" s="262">
        <f>(B67/B66)*(B65/B64)*(B63/B62)*(B61/B60)*B59</f>
        <v>10000</v>
      </c>
      <c r="C68" s="373" t="s">
        <v>75</v>
      </c>
      <c r="D68" s="376">
        <v>105.25</v>
      </c>
      <c r="E68" s="230">
        <v>1</v>
      </c>
      <c r="F68" s="282">
        <v>0.753</v>
      </c>
      <c r="G68" s="258">
        <f>IF(ISBLANK(F68),"-",(F68/$D$50*$D$47*$B$68)*($B$57/$D$68))</f>
        <v>788.28965361615963</v>
      </c>
      <c r="H68" s="302">
        <f t="shared" si="0"/>
        <v>0.92739959248959958</v>
      </c>
    </row>
    <row r="69" spans="1:8" ht="21.75" customHeight="1" thickBot="1" x14ac:dyDescent="0.45">
      <c r="A69" s="266" t="s">
        <v>96</v>
      </c>
      <c r="B69" s="281">
        <f>D47*B68/B56*B57</f>
        <v>104.64194117647057</v>
      </c>
      <c r="C69" s="372"/>
      <c r="D69" s="377"/>
      <c r="E69" s="231">
        <v>2</v>
      </c>
      <c r="F69" s="276">
        <v>0.753</v>
      </c>
      <c r="G69" s="259">
        <f>IF(ISBLANK(F69),"-",(F69/$D$50*$D$47*$B$68)*($B$57/$D$68))</f>
        <v>788.28965361615963</v>
      </c>
      <c r="H69" s="302">
        <f t="shared" si="0"/>
        <v>0.92739959248959958</v>
      </c>
    </row>
    <row r="70" spans="1:8" ht="22.5" customHeight="1" x14ac:dyDescent="0.4">
      <c r="A70" s="390" t="s">
        <v>49</v>
      </c>
      <c r="B70" s="391"/>
      <c r="C70" s="372"/>
      <c r="D70" s="377"/>
      <c r="E70" s="231">
        <v>3</v>
      </c>
      <c r="F70" s="276">
        <v>0.751</v>
      </c>
      <c r="G70" s="259">
        <f>IF(ISBLANK(F70),"-",(F70/$D$50*$D$47*$B$68)*($B$57/$D$68))</f>
        <v>786.1959227964619</v>
      </c>
      <c r="H70" s="302">
        <f t="shared" si="0"/>
        <v>0.92493637976054344</v>
      </c>
    </row>
    <row r="71" spans="1:8" ht="21.75" customHeight="1" thickBot="1" x14ac:dyDescent="0.45">
      <c r="A71" s="392"/>
      <c r="B71" s="393"/>
      <c r="C71" s="375"/>
      <c r="D71" s="378"/>
      <c r="E71" s="232">
        <v>4</v>
      </c>
      <c r="F71" s="283"/>
      <c r="G71" s="260" t="str">
        <f>IF(ISBLANK(F71),"-",(F71/$D$50*$D$47*$B$68)*($B$57/$D$68))</f>
        <v>-</v>
      </c>
      <c r="H71" s="303" t="str">
        <f t="shared" si="0"/>
        <v>-</v>
      </c>
    </row>
    <row r="72" spans="1:8" ht="26.25" customHeight="1" x14ac:dyDescent="0.4">
      <c r="A72" s="325"/>
      <c r="B72" s="325"/>
      <c r="C72" s="325"/>
      <c r="D72" s="325"/>
      <c r="E72" s="325"/>
      <c r="F72" s="325"/>
      <c r="G72" s="335" t="s">
        <v>42</v>
      </c>
      <c r="H72" s="284">
        <f>AVERAGE(H60:H71)</f>
        <v>0.93274446992195204</v>
      </c>
    </row>
    <row r="73" spans="1:8" ht="26.25" customHeight="1" x14ac:dyDescent="0.4">
      <c r="C73" s="325"/>
      <c r="D73" s="325"/>
      <c r="E73" s="325"/>
      <c r="F73" s="325"/>
      <c r="G73" s="337" t="s">
        <v>55</v>
      </c>
      <c r="H73" s="352">
        <f>STDEV(H60:H71)/H72</f>
        <v>5.2320165807574065E-3</v>
      </c>
    </row>
    <row r="74" spans="1:8" ht="27" customHeight="1" thickBot="1" x14ac:dyDescent="0.45">
      <c r="A74" s="325"/>
      <c r="B74" s="325"/>
      <c r="C74" s="325"/>
      <c r="D74" s="325"/>
      <c r="E74" s="327"/>
      <c r="F74" s="325"/>
      <c r="G74" s="339" t="s">
        <v>6</v>
      </c>
      <c r="H74" s="351">
        <f>COUNT(H60:H71)</f>
        <v>9</v>
      </c>
    </row>
    <row r="75" spans="1:8" ht="18.75" x14ac:dyDescent="0.3">
      <c r="A75" s="325"/>
      <c r="B75" s="325"/>
      <c r="C75" s="325"/>
      <c r="D75" s="325"/>
      <c r="E75" s="327"/>
      <c r="F75" s="325"/>
      <c r="G75" s="321"/>
      <c r="H75" s="309"/>
    </row>
    <row r="76" spans="1:8" ht="18.75" x14ac:dyDescent="0.3">
      <c r="A76" s="308" t="s">
        <v>58</v>
      </c>
      <c r="B76" s="321" t="s">
        <v>84</v>
      </c>
      <c r="C76" s="357" t="str">
        <f>B20</f>
        <v>Metformin HCl</v>
      </c>
      <c r="D76" s="357"/>
      <c r="E76" s="298" t="s">
        <v>59</v>
      </c>
      <c r="F76" s="298"/>
      <c r="G76" s="270">
        <f>H72</f>
        <v>0.93274446992195204</v>
      </c>
      <c r="H76" s="309"/>
    </row>
    <row r="77" spans="1:8" ht="18.75" x14ac:dyDescent="0.3">
      <c r="A77" s="325"/>
      <c r="B77" s="325"/>
      <c r="C77" s="325"/>
      <c r="D77" s="325"/>
      <c r="E77" s="327"/>
      <c r="F77" s="325"/>
      <c r="G77" s="321"/>
      <c r="H77" s="309"/>
    </row>
    <row r="78" spans="1:8" ht="26.25" customHeight="1" x14ac:dyDescent="0.4">
      <c r="A78" s="307" t="s">
        <v>81</v>
      </c>
      <c r="B78" s="307" t="s">
        <v>97</v>
      </c>
      <c r="D78" s="403" t="s">
        <v>103</v>
      </c>
    </row>
    <row r="79" spans="1:8" ht="18.75" x14ac:dyDescent="0.3">
      <c r="A79" s="307"/>
      <c r="B79" s="307"/>
    </row>
    <row r="80" spans="1:8" ht="26.25" customHeight="1" x14ac:dyDescent="0.4">
      <c r="A80" s="308" t="s">
        <v>1</v>
      </c>
      <c r="B80" s="368" t="str">
        <f>B26</f>
        <v>Metformin HCl</v>
      </c>
      <c r="C80" s="368"/>
    </row>
    <row r="81" spans="1:11" ht="26.25" customHeight="1" x14ac:dyDescent="0.4">
      <c r="A81" s="321" t="s">
        <v>22</v>
      </c>
      <c r="B81" s="271" t="str">
        <f>B27</f>
        <v>M19-1</v>
      </c>
    </row>
    <row r="82" spans="1:11" ht="27" customHeight="1" thickBot="1" x14ac:dyDescent="0.45">
      <c r="A82" s="321" t="s">
        <v>3</v>
      </c>
      <c r="B82" s="271">
        <f>B28</f>
        <v>99.52</v>
      </c>
    </row>
    <row r="83" spans="1:11" s="28" customFormat="1" ht="27" customHeight="1" thickBot="1" x14ac:dyDescent="0.45">
      <c r="A83" s="321" t="s">
        <v>23</v>
      </c>
      <c r="B83" s="271">
        <f>B29</f>
        <v>0</v>
      </c>
      <c r="C83" s="369" t="s">
        <v>82</v>
      </c>
      <c r="D83" s="370"/>
      <c r="E83" s="370"/>
      <c r="F83" s="370"/>
      <c r="G83" s="371"/>
      <c r="I83" s="294"/>
      <c r="J83" s="294"/>
      <c r="K83" s="294"/>
    </row>
    <row r="84" spans="1:11" s="28" customFormat="1" ht="19.5" customHeight="1" thickBot="1" x14ac:dyDescent="0.35">
      <c r="A84" s="321" t="s">
        <v>24</v>
      </c>
      <c r="B84" s="309">
        <f>B82-B83</f>
        <v>99.52</v>
      </c>
      <c r="C84" s="310"/>
      <c r="D84" s="310"/>
      <c r="E84" s="310"/>
      <c r="F84" s="310"/>
      <c r="G84" s="311"/>
      <c r="I84" s="294"/>
      <c r="J84" s="294"/>
      <c r="K84" s="294"/>
    </row>
    <row r="85" spans="1:11" s="28" customFormat="1" ht="27" customHeight="1" thickBot="1" x14ac:dyDescent="0.45">
      <c r="A85" s="321" t="s">
        <v>25</v>
      </c>
      <c r="B85" s="272">
        <v>1</v>
      </c>
      <c r="C85" s="361" t="s">
        <v>26</v>
      </c>
      <c r="D85" s="362"/>
      <c r="E85" s="362"/>
      <c r="F85" s="362"/>
      <c r="G85" s="362"/>
      <c r="H85" s="363"/>
      <c r="I85" s="294"/>
      <c r="J85" s="294"/>
      <c r="K85" s="294"/>
    </row>
    <row r="86" spans="1:11" s="28" customFormat="1" ht="27" customHeight="1" thickBot="1" x14ac:dyDescent="0.45">
      <c r="A86" s="321" t="s">
        <v>27</v>
      </c>
      <c r="B86" s="272">
        <v>1</v>
      </c>
      <c r="C86" s="361" t="s">
        <v>28</v>
      </c>
      <c r="D86" s="362"/>
      <c r="E86" s="362"/>
      <c r="F86" s="362"/>
      <c r="G86" s="362"/>
      <c r="H86" s="363"/>
      <c r="I86" s="294"/>
      <c r="J86" s="294"/>
      <c r="K86" s="294"/>
    </row>
    <row r="87" spans="1:11" s="28" customFormat="1" ht="18.75" x14ac:dyDescent="0.3">
      <c r="A87" s="321"/>
      <c r="B87" s="309"/>
      <c r="C87" s="310"/>
      <c r="D87" s="310"/>
      <c r="E87" s="310"/>
      <c r="F87" s="310"/>
      <c r="G87" s="311"/>
      <c r="I87" s="294"/>
      <c r="J87" s="294"/>
      <c r="K87" s="294"/>
    </row>
    <row r="88" spans="1:11" s="28" customFormat="1" ht="18.75" x14ac:dyDescent="0.3">
      <c r="A88" s="321" t="s">
        <v>29</v>
      </c>
      <c r="B88" s="218">
        <f>B85/B86</f>
        <v>1</v>
      </c>
      <c r="C88" s="298" t="s">
        <v>30</v>
      </c>
      <c r="D88" s="310"/>
      <c r="E88" s="310"/>
      <c r="F88" s="310"/>
      <c r="G88" s="311"/>
      <c r="I88" s="294"/>
      <c r="J88" s="294"/>
      <c r="K88" s="294"/>
    </row>
    <row r="89" spans="1:11" ht="19.5" customHeight="1" thickBot="1" x14ac:dyDescent="0.35">
      <c r="A89" s="307"/>
      <c r="B89" s="307"/>
    </row>
    <row r="90" spans="1:11" ht="27" customHeight="1" thickBot="1" x14ac:dyDescent="0.45">
      <c r="A90" s="312" t="s">
        <v>92</v>
      </c>
      <c r="B90" s="273">
        <v>100</v>
      </c>
      <c r="D90" s="353" t="s">
        <v>31</v>
      </c>
      <c r="E90" s="293"/>
      <c r="F90" s="358" t="s">
        <v>32</v>
      </c>
      <c r="G90" s="359"/>
    </row>
    <row r="91" spans="1:11" ht="26.25" customHeight="1" x14ac:dyDescent="0.4">
      <c r="A91" s="313" t="s">
        <v>33</v>
      </c>
      <c r="B91" s="274">
        <v>5</v>
      </c>
      <c r="C91" s="314" t="s">
        <v>83</v>
      </c>
      <c r="D91" s="221" t="s">
        <v>35</v>
      </c>
      <c r="E91" s="243" t="s">
        <v>36</v>
      </c>
      <c r="F91" s="221" t="s">
        <v>35</v>
      </c>
      <c r="G91" s="315" t="s">
        <v>36</v>
      </c>
    </row>
    <row r="92" spans="1:11" ht="26.25" customHeight="1" x14ac:dyDescent="0.4">
      <c r="A92" s="313" t="s">
        <v>37</v>
      </c>
      <c r="B92" s="274">
        <v>100</v>
      </c>
      <c r="C92" s="316">
        <v>1</v>
      </c>
      <c r="D92" s="275">
        <v>0.79300000000000004</v>
      </c>
      <c r="E92" s="251">
        <f>IF(ISBLANK(D92),"-",$D$102/$D$99*D92)</f>
        <v>0.6914763093579146</v>
      </c>
      <c r="F92" s="275">
        <v>0.85399999999999998</v>
      </c>
      <c r="G92" s="317">
        <f>IF(ISBLANK(F92),"-",$D$102/$F$99*F92)</f>
        <v>0.6976577000496692</v>
      </c>
    </row>
    <row r="93" spans="1:11" ht="26.25" customHeight="1" x14ac:dyDescent="0.4">
      <c r="A93" s="313" t="s">
        <v>38</v>
      </c>
      <c r="B93" s="274">
        <v>1</v>
      </c>
      <c r="C93" s="325">
        <v>2</v>
      </c>
      <c r="D93" s="276">
        <v>0.79300000000000004</v>
      </c>
      <c r="E93" s="252">
        <f>IF(ISBLANK(D93),"-",$D$102/$D$99*D93)</f>
        <v>0.6914763093579146</v>
      </c>
      <c r="F93" s="276">
        <v>0.85099999999999998</v>
      </c>
      <c r="G93" s="318">
        <f>IF(ISBLANK(F93),"-",$D$102/$F$99*F93)</f>
        <v>0.69520691187619266</v>
      </c>
    </row>
    <row r="94" spans="1:11" ht="26.25" customHeight="1" x14ac:dyDescent="0.4">
      <c r="A94" s="313" t="s">
        <v>39</v>
      </c>
      <c r="B94" s="274">
        <v>1</v>
      </c>
      <c r="C94" s="325">
        <v>3</v>
      </c>
      <c r="D94" s="276">
        <v>0.79200000000000004</v>
      </c>
      <c r="E94" s="252">
        <f>IF(ISBLANK(D94),"-",$D$102/$D$99*D94)</f>
        <v>0.69060433418848466</v>
      </c>
      <c r="F94" s="276">
        <v>0.85199999999999998</v>
      </c>
      <c r="G94" s="318">
        <f>IF(ISBLANK(F94),"-",$D$102/$F$99*F94)</f>
        <v>0.69602384126735151</v>
      </c>
    </row>
    <row r="95" spans="1:11" ht="26.25" customHeight="1" x14ac:dyDescent="0.4">
      <c r="A95" s="313" t="s">
        <v>40</v>
      </c>
      <c r="B95" s="274">
        <v>1</v>
      </c>
      <c r="C95" s="319">
        <v>4</v>
      </c>
      <c r="D95" s="277"/>
      <c r="E95" s="253" t="str">
        <f>IF(ISBLANK(D95),"-",$D$102/$D$99*D95)</f>
        <v>-</v>
      </c>
      <c r="F95" s="285"/>
      <c r="G95" s="320" t="str">
        <f>IF(ISBLANK(F95),"-",$D$102/$F$99*F95)</f>
        <v>-</v>
      </c>
    </row>
    <row r="96" spans="1:11" ht="27" customHeight="1" thickBot="1" x14ac:dyDescent="0.45">
      <c r="A96" s="313" t="s">
        <v>41</v>
      </c>
      <c r="B96" s="274">
        <v>1</v>
      </c>
      <c r="C96" s="321" t="s">
        <v>42</v>
      </c>
      <c r="D96" s="398">
        <f>AVERAGE(D92:D95)</f>
        <v>0.79266666666666674</v>
      </c>
      <c r="E96" s="233">
        <f>AVERAGE(E92:E95)</f>
        <v>0.69118565096810458</v>
      </c>
      <c r="F96" s="399">
        <f>AVERAGE(F92:F95)</f>
        <v>0.85233333333333328</v>
      </c>
      <c r="G96" s="400">
        <f>AVERAGE(G92:G95)</f>
        <v>0.69629615106440446</v>
      </c>
    </row>
    <row r="97" spans="1:9" ht="26.25" customHeight="1" x14ac:dyDescent="0.4">
      <c r="A97" s="313" t="s">
        <v>43</v>
      </c>
      <c r="B97" s="271">
        <v>1</v>
      </c>
      <c r="C97" s="322" t="s">
        <v>44</v>
      </c>
      <c r="D97" s="278">
        <v>19.59</v>
      </c>
      <c r="E97" s="298"/>
      <c r="F97" s="279">
        <v>20.91</v>
      </c>
    </row>
    <row r="98" spans="1:9" ht="26.25" customHeight="1" x14ac:dyDescent="0.4">
      <c r="A98" s="313" t="s">
        <v>45</v>
      </c>
      <c r="B98" s="271">
        <v>1</v>
      </c>
      <c r="C98" s="323" t="s">
        <v>46</v>
      </c>
      <c r="D98" s="324">
        <f>D97*B88</f>
        <v>19.59</v>
      </c>
      <c r="E98" s="325"/>
      <c r="F98" s="326">
        <f>F97*B88</f>
        <v>20.91</v>
      </c>
    </row>
    <row r="99" spans="1:9" ht="19.5" customHeight="1" thickBot="1" x14ac:dyDescent="0.35">
      <c r="A99" s="313" t="s">
        <v>47</v>
      </c>
      <c r="B99" s="309">
        <f>(B98/B97)*(B96/B95)*(B94/B93)*(B92/B91)*B90</f>
        <v>2000</v>
      </c>
      <c r="C99" s="323" t="s">
        <v>48</v>
      </c>
      <c r="D99" s="332">
        <f>D98*$B$84/100</f>
        <v>19.495967999999998</v>
      </c>
      <c r="E99" s="327"/>
      <c r="F99" s="328">
        <f>F98*$B$84/100</f>
        <v>20.809632000000001</v>
      </c>
    </row>
    <row r="100" spans="1:9" ht="19.5" customHeight="1" thickBot="1" x14ac:dyDescent="0.35">
      <c r="A100" s="364" t="s">
        <v>49</v>
      </c>
      <c r="B100" s="379"/>
      <c r="C100" s="323" t="s">
        <v>50</v>
      </c>
      <c r="D100" s="324">
        <f>D99/$B$99</f>
        <v>9.7479839999999995E-3</v>
      </c>
      <c r="E100" s="327"/>
      <c r="F100" s="329">
        <f>F99/$B$99</f>
        <v>1.0404816000000001E-2</v>
      </c>
      <c r="H100" s="331"/>
    </row>
    <row r="101" spans="1:9" ht="19.5" customHeight="1" thickBot="1" x14ac:dyDescent="0.35">
      <c r="A101" s="366"/>
      <c r="B101" s="380"/>
      <c r="C101" s="323" t="s">
        <v>51</v>
      </c>
      <c r="D101" s="332">
        <f>850/1000*1/100</f>
        <v>8.5000000000000006E-3</v>
      </c>
      <c r="F101" s="333"/>
      <c r="G101" s="336"/>
      <c r="H101" s="331"/>
    </row>
    <row r="102" spans="1:9" ht="18.75" x14ac:dyDescent="0.3">
      <c r="C102" s="323" t="s">
        <v>52</v>
      </c>
      <c r="D102" s="324">
        <f>D101*$B$99</f>
        <v>17</v>
      </c>
      <c r="F102" s="333"/>
      <c r="H102" s="331"/>
    </row>
    <row r="103" spans="1:9" ht="19.5" customHeight="1" thickBot="1" x14ac:dyDescent="0.35">
      <c r="C103" s="263" t="s">
        <v>53</v>
      </c>
      <c r="D103" s="267">
        <f>D102/B34</f>
        <v>17</v>
      </c>
      <c r="F103" s="334"/>
      <c r="H103" s="331"/>
      <c r="I103" s="299"/>
    </row>
    <row r="104" spans="1:9" ht="18.75" x14ac:dyDescent="0.3">
      <c r="C104" s="264" t="s">
        <v>76</v>
      </c>
      <c r="D104" s="265">
        <f>AVERAGE(E92:E95,G92:G95)</f>
        <v>0.69374090101625452</v>
      </c>
      <c r="F104" s="334"/>
      <c r="G104" s="336"/>
      <c r="H104" s="331"/>
      <c r="I104" s="300"/>
    </row>
    <row r="105" spans="1:9" ht="18.75" x14ac:dyDescent="0.3">
      <c r="C105" s="337" t="s">
        <v>55</v>
      </c>
      <c r="D105" s="338">
        <f>STDEV(E92:E95,G92:G95)/D104</f>
        <v>4.2172075437561986E-3</v>
      </c>
      <c r="F105" s="334"/>
      <c r="H105" s="331"/>
      <c r="I105" s="300"/>
    </row>
    <row r="106" spans="1:9" ht="19.5" customHeight="1" thickBot="1" x14ac:dyDescent="0.35">
      <c r="C106" s="339" t="s">
        <v>6</v>
      </c>
      <c r="D106" s="340">
        <f>COUNT(E92:E95,G92:G95)</f>
        <v>6</v>
      </c>
      <c r="F106" s="334"/>
      <c r="H106" s="331"/>
      <c r="I106" s="300"/>
    </row>
    <row r="107" spans="1:9" ht="19.5" customHeight="1" thickBot="1" x14ac:dyDescent="0.35">
      <c r="A107" s="341"/>
      <c r="B107" s="341"/>
      <c r="C107" s="341"/>
      <c r="D107" s="341"/>
      <c r="E107" s="341"/>
    </row>
    <row r="108" spans="1:9" ht="26.25" customHeight="1" x14ac:dyDescent="0.4">
      <c r="A108" s="312" t="s">
        <v>77</v>
      </c>
      <c r="B108" s="273">
        <v>1000</v>
      </c>
      <c r="C108" s="353" t="s">
        <v>78</v>
      </c>
      <c r="D108" s="234" t="s">
        <v>35</v>
      </c>
      <c r="E108" s="342" t="s">
        <v>79</v>
      </c>
      <c r="F108" s="343" t="s">
        <v>80</v>
      </c>
    </row>
    <row r="109" spans="1:9" ht="26.25" customHeight="1" x14ac:dyDescent="0.4">
      <c r="A109" s="313" t="s">
        <v>64</v>
      </c>
      <c r="B109" s="274">
        <v>1</v>
      </c>
      <c r="C109" s="344">
        <v>1</v>
      </c>
      <c r="D109" s="401">
        <v>0.68600000000000005</v>
      </c>
      <c r="E109" s="235">
        <f>IF(ISBLANK(D109),"-",D109/$D$104*$D$101*$B$117)</f>
        <v>840.51552841388241</v>
      </c>
      <c r="F109" s="236">
        <f>IF(ISBLANK(D109), "-", E109/$B$56)</f>
        <v>0.98884179813397932</v>
      </c>
    </row>
    <row r="110" spans="1:9" ht="26.25" customHeight="1" x14ac:dyDescent="0.4">
      <c r="A110" s="313" t="s">
        <v>66</v>
      </c>
      <c r="B110" s="274">
        <v>100</v>
      </c>
      <c r="C110" s="344">
        <v>2</v>
      </c>
      <c r="D110" s="401">
        <v>0.67900000000000005</v>
      </c>
      <c r="E110" s="237">
        <f t="shared" ref="E110:E114" si="1">IF(ISBLANK(D110),"-",D110/$D$104*$D$101*$B$117)</f>
        <v>831.93883934843461</v>
      </c>
      <c r="F110" s="246">
        <f t="shared" ref="F110:F114" si="2">IF(ISBLANK(D110), "-", E110/$B$56)</f>
        <v>0.9787515757040407</v>
      </c>
    </row>
    <row r="111" spans="1:9" ht="26.25" customHeight="1" x14ac:dyDescent="0.4">
      <c r="A111" s="313" t="s">
        <v>67</v>
      </c>
      <c r="B111" s="274">
        <v>1</v>
      </c>
      <c r="C111" s="344">
        <v>3</v>
      </c>
      <c r="D111" s="401">
        <v>0.67600000000000005</v>
      </c>
      <c r="E111" s="237">
        <f t="shared" si="1"/>
        <v>828.26311546324268</v>
      </c>
      <c r="F111" s="246">
        <f>IF(ISBLANK(D111), "-", E111/$B$56)</f>
        <v>0.9744271946626385</v>
      </c>
    </row>
    <row r="112" spans="1:9" ht="26.25" customHeight="1" x14ac:dyDescent="0.4">
      <c r="A112" s="313" t="s">
        <v>68</v>
      </c>
      <c r="B112" s="274">
        <v>1</v>
      </c>
      <c r="C112" s="344">
        <v>4</v>
      </c>
      <c r="D112" s="401">
        <v>0.68600000000000005</v>
      </c>
      <c r="E112" s="237">
        <f t="shared" si="1"/>
        <v>840.51552841388241</v>
      </c>
      <c r="F112" s="246">
        <f t="shared" si="2"/>
        <v>0.98884179813397932</v>
      </c>
    </row>
    <row r="113" spans="1:9" ht="26.25" customHeight="1" x14ac:dyDescent="0.4">
      <c r="A113" s="313" t="s">
        <v>69</v>
      </c>
      <c r="B113" s="274">
        <v>1</v>
      </c>
      <c r="C113" s="344">
        <v>5</v>
      </c>
      <c r="D113" s="401">
        <v>0.69799999999999995</v>
      </c>
      <c r="E113" s="237">
        <f t="shared" si="1"/>
        <v>855.21842395464978</v>
      </c>
      <c r="F113" s="246">
        <f>IF(ISBLANK(D113), "-", E113/$B$56)</f>
        <v>1.006139322299588</v>
      </c>
    </row>
    <row r="114" spans="1:9" ht="26.25" customHeight="1" x14ac:dyDescent="0.4">
      <c r="A114" s="313" t="s">
        <v>71</v>
      </c>
      <c r="B114" s="274">
        <v>1</v>
      </c>
      <c r="C114" s="345">
        <v>6</v>
      </c>
      <c r="D114" s="402">
        <v>0.69799999999999995</v>
      </c>
      <c r="E114" s="238">
        <f t="shared" si="1"/>
        <v>855.21842395464978</v>
      </c>
      <c r="F114" s="247">
        <f t="shared" si="2"/>
        <v>1.006139322299588</v>
      </c>
    </row>
    <row r="115" spans="1:9" ht="26.25" customHeight="1" x14ac:dyDescent="0.4">
      <c r="A115" s="313" t="s">
        <v>72</v>
      </c>
      <c r="B115" s="274">
        <v>1</v>
      </c>
      <c r="C115" s="344"/>
      <c r="D115" s="325"/>
      <c r="E115" s="298"/>
      <c r="F115" s="346"/>
    </row>
    <row r="116" spans="1:9" ht="26.25" customHeight="1" x14ac:dyDescent="0.4">
      <c r="A116" s="313" t="s">
        <v>73</v>
      </c>
      <c r="B116" s="274">
        <v>1</v>
      </c>
      <c r="C116" s="344"/>
      <c r="D116" s="347"/>
      <c r="E116" s="239" t="s">
        <v>42</v>
      </c>
      <c r="F116" s="286">
        <f>AVERAGE(F109:F114)</f>
        <v>0.99052350187230231</v>
      </c>
    </row>
    <row r="117" spans="1:9" ht="27" customHeight="1" thickBot="1" x14ac:dyDescent="0.45">
      <c r="A117" s="313" t="s">
        <v>74</v>
      </c>
      <c r="B117" s="262">
        <f>(B116/B115)*(B114/B113)*(B112/B111)*(B110/B109)*B108</f>
        <v>100000</v>
      </c>
      <c r="C117" s="348"/>
      <c r="D117" s="240"/>
      <c r="E117" s="321" t="s">
        <v>55</v>
      </c>
      <c r="F117" s="287">
        <f>STDEV(F109:F114)/F116</f>
        <v>1.3477122668563424E-2</v>
      </c>
    </row>
    <row r="118" spans="1:9" ht="27" customHeight="1" thickBot="1" x14ac:dyDescent="0.45">
      <c r="A118" s="364" t="s">
        <v>49</v>
      </c>
      <c r="B118" s="365"/>
      <c r="C118" s="349"/>
      <c r="D118" s="241"/>
      <c r="E118" s="242" t="s">
        <v>6</v>
      </c>
      <c r="F118" s="288">
        <f>COUNT(F109:F114)</f>
        <v>6</v>
      </c>
      <c r="I118" s="300"/>
    </row>
    <row r="119" spans="1:9" ht="19.5" customHeight="1" thickBot="1" x14ac:dyDescent="0.35">
      <c r="A119" s="366"/>
      <c r="B119" s="367"/>
      <c r="C119" s="298"/>
      <c r="D119" s="298"/>
      <c r="E119" s="298"/>
      <c r="F119" s="325"/>
      <c r="G119" s="298"/>
      <c r="H119" s="298"/>
    </row>
    <row r="120" spans="1:9" ht="18.75" x14ac:dyDescent="0.3">
      <c r="A120" s="297"/>
      <c r="B120" s="297"/>
      <c r="C120" s="298"/>
      <c r="D120" s="298"/>
      <c r="E120" s="298"/>
      <c r="F120" s="325"/>
      <c r="G120" s="298"/>
      <c r="H120" s="298"/>
    </row>
    <row r="121" spans="1:9" ht="26.25" customHeight="1" x14ac:dyDescent="0.4">
      <c r="A121" s="308" t="s">
        <v>58</v>
      </c>
      <c r="B121" s="321" t="s">
        <v>84</v>
      </c>
      <c r="C121" s="357" t="str">
        <f>B20</f>
        <v>Metformin HCl</v>
      </c>
      <c r="D121" s="357"/>
      <c r="E121" s="298" t="s">
        <v>85</v>
      </c>
      <c r="F121" s="298"/>
      <c r="G121" s="289">
        <f>F116</f>
        <v>0.99052350187230231</v>
      </c>
      <c r="H121" s="298"/>
    </row>
    <row r="122" spans="1:9" ht="18.75" x14ac:dyDescent="0.3">
      <c r="A122" s="297"/>
      <c r="B122" s="297"/>
      <c r="C122" s="298"/>
      <c r="D122" s="298"/>
      <c r="E122" s="298"/>
      <c r="F122" s="325"/>
      <c r="G122" s="298"/>
      <c r="H122" s="298"/>
    </row>
    <row r="123" spans="1:9" ht="19.5" customHeight="1" thickBot="1" x14ac:dyDescent="0.35">
      <c r="A123" s="354"/>
      <c r="B123" s="354"/>
      <c r="C123" s="248"/>
      <c r="D123" s="248"/>
      <c r="E123" s="248"/>
      <c r="F123" s="248"/>
      <c r="G123" s="248"/>
      <c r="H123" s="248"/>
    </row>
    <row r="124" spans="1:9" ht="18.75" x14ac:dyDescent="0.3">
      <c r="B124" s="360" t="s">
        <v>7</v>
      </c>
      <c r="C124" s="360"/>
      <c r="E124" s="314" t="s">
        <v>8</v>
      </c>
      <c r="F124" s="257"/>
      <c r="G124" s="360" t="s">
        <v>9</v>
      </c>
      <c r="H124" s="360"/>
    </row>
    <row r="125" spans="1:9" ht="83.1" customHeight="1" x14ac:dyDescent="0.3">
      <c r="A125" s="308" t="s">
        <v>10</v>
      </c>
      <c r="B125" s="268"/>
      <c r="C125" s="268"/>
      <c r="E125" s="255"/>
      <c r="F125" s="298"/>
      <c r="G125" s="255"/>
      <c r="H125" s="255"/>
    </row>
    <row r="126" spans="1:9" ht="83.1" customHeight="1" x14ac:dyDescent="0.3">
      <c r="A126" s="308" t="s">
        <v>11</v>
      </c>
      <c r="B126" s="269"/>
      <c r="C126" s="269"/>
      <c r="E126" s="254"/>
      <c r="F126" s="298"/>
      <c r="G126" s="256"/>
      <c r="H126" s="256"/>
    </row>
    <row r="127" spans="1:9" ht="18.75" x14ac:dyDescent="0.3">
      <c r="A127" s="325"/>
      <c r="B127" s="325"/>
      <c r="C127" s="325"/>
      <c r="D127" s="325"/>
      <c r="E127" s="325"/>
      <c r="F127" s="327"/>
      <c r="G127" s="325"/>
      <c r="H127" s="325"/>
    </row>
    <row r="128" spans="1:9" ht="18.75" x14ac:dyDescent="0.3">
      <c r="A128" s="325"/>
      <c r="B128" s="325"/>
      <c r="C128" s="325"/>
      <c r="D128" s="325"/>
      <c r="E128" s="325"/>
      <c r="F128" s="327"/>
      <c r="G128" s="325"/>
      <c r="H128" s="325"/>
    </row>
    <row r="129" spans="1:8" ht="18.75" x14ac:dyDescent="0.3">
      <c r="A129" s="325"/>
      <c r="B129" s="325"/>
      <c r="C129" s="325"/>
      <c r="D129" s="325"/>
      <c r="E129" s="325"/>
      <c r="F129" s="327"/>
      <c r="G129" s="325"/>
      <c r="H129" s="325"/>
    </row>
    <row r="130" spans="1:8" ht="18.75" x14ac:dyDescent="0.3">
      <c r="A130" s="325"/>
      <c r="B130" s="325"/>
      <c r="C130" s="325"/>
      <c r="D130" s="325"/>
      <c r="E130" s="325"/>
      <c r="F130" s="327"/>
      <c r="G130" s="325"/>
      <c r="H130" s="325"/>
    </row>
    <row r="131" spans="1:8" ht="18.75" x14ac:dyDescent="0.3">
      <c r="A131" s="325"/>
      <c r="B131" s="325"/>
      <c r="C131" s="325"/>
      <c r="D131" s="325"/>
      <c r="E131" s="325"/>
      <c r="F131" s="327"/>
      <c r="G131" s="325"/>
      <c r="H131" s="325"/>
    </row>
    <row r="132" spans="1:8" ht="18.75" x14ac:dyDescent="0.3">
      <c r="A132" s="325"/>
      <c r="B132" s="325"/>
      <c r="C132" s="325"/>
      <c r="D132" s="325"/>
      <c r="E132" s="325"/>
      <c r="F132" s="327"/>
      <c r="G132" s="325"/>
      <c r="H132" s="325"/>
    </row>
    <row r="133" spans="1:8" ht="18.75" x14ac:dyDescent="0.3">
      <c r="A133" s="325"/>
      <c r="B133" s="325"/>
      <c r="C133" s="325"/>
      <c r="D133" s="325"/>
      <c r="E133" s="325"/>
      <c r="F133" s="327"/>
      <c r="G133" s="325"/>
      <c r="H133" s="325"/>
    </row>
    <row r="134" spans="1:8" ht="18.75" x14ac:dyDescent="0.3">
      <c r="A134" s="325"/>
      <c r="B134" s="325"/>
      <c r="C134" s="325"/>
      <c r="D134" s="325"/>
      <c r="E134" s="325"/>
      <c r="F134" s="327"/>
      <c r="G134" s="325"/>
      <c r="H134" s="325"/>
    </row>
    <row r="135" spans="1:8" ht="18.75" x14ac:dyDescent="0.3">
      <c r="A135" s="325"/>
      <c r="B135" s="325"/>
      <c r="C135" s="325"/>
      <c r="D135" s="325"/>
      <c r="E135" s="325"/>
      <c r="F135" s="327"/>
      <c r="G135" s="325"/>
      <c r="H135" s="325"/>
    </row>
    <row r="234" spans="1:1" x14ac:dyDescent="0.25">
      <c r="A234" s="33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9">
    <mergeCell ref="A118:B119"/>
    <mergeCell ref="C121:D121"/>
    <mergeCell ref="B124:C124"/>
    <mergeCell ref="G124:H124"/>
    <mergeCell ref="B80:C80"/>
    <mergeCell ref="C83:G83"/>
    <mergeCell ref="C85:H85"/>
    <mergeCell ref="C86:H86"/>
    <mergeCell ref="F90:G90"/>
    <mergeCell ref="A100:B101"/>
    <mergeCell ref="C64:C67"/>
    <mergeCell ref="D64:D67"/>
    <mergeCell ref="C68:C71"/>
    <mergeCell ref="D68:D71"/>
    <mergeCell ref="A70:B71"/>
    <mergeCell ref="C76:D76"/>
    <mergeCell ref="C31:H31"/>
    <mergeCell ref="C32:H32"/>
    <mergeCell ref="D36:E36"/>
    <mergeCell ref="F36:G36"/>
    <mergeCell ref="A46:B47"/>
    <mergeCell ref="C60:C63"/>
    <mergeCell ref="D60:D63"/>
    <mergeCell ref="A1:H7"/>
    <mergeCell ref="A8:H14"/>
    <mergeCell ref="A16:H16"/>
    <mergeCell ref="B18:C18"/>
    <mergeCell ref="B26:C26"/>
    <mergeCell ref="C29:G29"/>
  </mergeCells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Footer>&amp;LNQCL/ADDO/014&amp;C&amp;P of &amp;N&amp;R&amp;D &amp;T</oddFooter>
  </headerFooter>
  <rowBreaks count="1" manualBreakCount="1">
    <brk id="1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Uniformity</vt:lpstr>
      <vt:lpstr>Metformin HCl </vt:lpstr>
      <vt:lpstr>Metformin HCl 2</vt:lpstr>
      <vt:lpstr>'Metformin HCl '!Print_Area</vt:lpstr>
      <vt:lpstr>'Metformin HCl 2'!Print_Area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Quality Assurance</cp:lastModifiedBy>
  <dcterms:created xsi:type="dcterms:W3CDTF">2005-07-05T10:19:27Z</dcterms:created>
  <dcterms:modified xsi:type="dcterms:W3CDTF">2015-09-08T12:37:32Z</dcterms:modified>
  <cp:category/>
</cp:coreProperties>
</file>