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4"/>
  </bookViews>
  <sheets>
    <sheet name="SST" sheetId="1" r:id="rId1"/>
    <sheet name="Uniformity" sheetId="2" r:id="rId2"/>
    <sheet name="Fluralaner" sheetId="3" r:id="rId3"/>
    <sheet name="Fluralaner 1" sheetId="4" r:id="rId4"/>
    <sheet name="Fluralaner 2" sheetId="5" r:id="rId5"/>
  </sheets>
  <definedNames>
    <definedName name="_xlnm.Print_Area" localSheetId="3">'Fluralaner 1'!$A$1:$H$142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76" i="5" l="1"/>
  <c r="C120" i="5"/>
  <c r="B116" i="5"/>
  <c r="D100" i="5"/>
  <c r="D101" i="5" s="1"/>
  <c r="B98" i="5"/>
  <c r="F97" i="5"/>
  <c r="F95" i="5"/>
  <c r="D95" i="5"/>
  <c r="I92" i="5"/>
  <c r="B87" i="5"/>
  <c r="D97" i="5" s="1"/>
  <c r="B83" i="5"/>
  <c r="B81" i="5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38" i="4"/>
  <c r="B134" i="4"/>
  <c r="C121" i="4"/>
  <c r="B117" i="4"/>
  <c r="D101" i="4"/>
  <c r="D102" i="4" s="1"/>
  <c r="B99" i="4"/>
  <c r="F96" i="4"/>
  <c r="D96" i="4"/>
  <c r="G95" i="4"/>
  <c r="E95" i="4"/>
  <c r="B88" i="4"/>
  <c r="F98" i="4" s="1"/>
  <c r="F99" i="4" s="1"/>
  <c r="F100" i="4" s="1"/>
  <c r="B84" i="4"/>
  <c r="B83" i="4"/>
  <c r="B82" i="4"/>
  <c r="B81" i="4"/>
  <c r="B80" i="4"/>
  <c r="C76" i="4"/>
  <c r="H71" i="4"/>
  <c r="G71" i="4"/>
  <c r="B68" i="4"/>
  <c r="H67" i="4"/>
  <c r="G67" i="4"/>
  <c r="H63" i="4"/>
  <c r="G63" i="4"/>
  <c r="C56" i="4"/>
  <c r="B55" i="4"/>
  <c r="D48" i="4"/>
  <c r="B45" i="4"/>
  <c r="F42" i="4"/>
  <c r="D42" i="4"/>
  <c r="G41" i="4"/>
  <c r="E41" i="4"/>
  <c r="B34" i="4"/>
  <c r="F44" i="4" s="1"/>
  <c r="F45" i="4" s="1"/>
  <c r="B30" i="4"/>
  <c r="C129" i="3"/>
  <c r="B125" i="3"/>
  <c r="F122" i="3"/>
  <c r="E122" i="3"/>
  <c r="F121" i="3"/>
  <c r="E121" i="3"/>
  <c r="F120" i="3"/>
  <c r="E120" i="3"/>
  <c r="F119" i="3"/>
  <c r="E119" i="3"/>
  <c r="F118" i="3"/>
  <c r="F126" i="3" s="1"/>
  <c r="E118" i="3"/>
  <c r="F117" i="3"/>
  <c r="F124" i="3" s="1"/>
  <c r="E117" i="3"/>
  <c r="D110" i="3"/>
  <c r="D111" i="3" s="1"/>
  <c r="D109" i="3"/>
  <c r="B107" i="3"/>
  <c r="D106" i="3"/>
  <c r="F104" i="3"/>
  <c r="D104" i="3"/>
  <c r="G103" i="3"/>
  <c r="E103" i="3"/>
  <c r="G102" i="3"/>
  <c r="E102" i="3"/>
  <c r="G101" i="3"/>
  <c r="G104" i="3" s="1"/>
  <c r="E101" i="3"/>
  <c r="G100" i="3"/>
  <c r="E100" i="3"/>
  <c r="D112" i="3" s="1"/>
  <c r="D113" i="3" s="1"/>
  <c r="B96" i="3"/>
  <c r="F106" i="3" s="1"/>
  <c r="B90" i="3"/>
  <c r="B89" i="3"/>
  <c r="B91" i="3" s="1"/>
  <c r="C74" i="3"/>
  <c r="G68" i="3"/>
  <c r="F68" i="3"/>
  <c r="E68" i="3"/>
  <c r="G67" i="3"/>
  <c r="F67" i="3"/>
  <c r="E67" i="3"/>
  <c r="B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G70" i="3" s="1"/>
  <c r="F59" i="3"/>
  <c r="F70" i="3" s="1"/>
  <c r="F71" i="3" s="1"/>
  <c r="E59" i="3"/>
  <c r="E72" i="3" s="1"/>
  <c r="C56" i="3"/>
  <c r="B55" i="3"/>
  <c r="D48" i="3"/>
  <c r="D49" i="3" s="1"/>
  <c r="B45" i="3"/>
  <c r="F42" i="3"/>
  <c r="D42" i="3"/>
  <c r="G41" i="3"/>
  <c r="E41" i="3"/>
  <c r="G40" i="3"/>
  <c r="E40" i="3"/>
  <c r="G39" i="3"/>
  <c r="E39" i="3"/>
  <c r="G38" i="3"/>
  <c r="G42" i="3" s="1"/>
  <c r="E38" i="3"/>
  <c r="D52" i="3" s="1"/>
  <c r="B34" i="3"/>
  <c r="D44" i="3" s="1"/>
  <c r="D45" i="3" s="1"/>
  <c r="D46" i="3" s="1"/>
  <c r="B30" i="3"/>
  <c r="C46" i="2"/>
  <c r="B57" i="5" s="1"/>
  <c r="C45" i="2"/>
  <c r="D40" i="2"/>
  <c r="D36" i="2"/>
  <c r="D32" i="2"/>
  <c r="D28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5" l="1"/>
  <c r="F44" i="5"/>
  <c r="F45" i="5" s="1"/>
  <c r="F98" i="5"/>
  <c r="F99" i="5" s="1"/>
  <c r="D45" i="5"/>
  <c r="E40" i="5" s="1"/>
  <c r="D98" i="5"/>
  <c r="D99" i="5" s="1"/>
  <c r="F46" i="4"/>
  <c r="G39" i="4"/>
  <c r="D103" i="4"/>
  <c r="G94" i="4"/>
  <c r="G92" i="4"/>
  <c r="G96" i="4" s="1"/>
  <c r="G93" i="4"/>
  <c r="D107" i="3"/>
  <c r="D108" i="3" s="1"/>
  <c r="G74" i="3"/>
  <c r="C82" i="3"/>
  <c r="G71" i="3"/>
  <c r="C79" i="3"/>
  <c r="F107" i="3"/>
  <c r="F108" i="3" s="1"/>
  <c r="F125" i="3"/>
  <c r="G129" i="3"/>
  <c r="B69" i="5"/>
  <c r="E94" i="5"/>
  <c r="G92" i="5"/>
  <c r="D102" i="5"/>
  <c r="E92" i="5"/>
  <c r="E93" i="5"/>
  <c r="E91" i="5"/>
  <c r="D29" i="2"/>
  <c r="D30" i="2"/>
  <c r="D42" i="2"/>
  <c r="E42" i="3"/>
  <c r="D50" i="3"/>
  <c r="D51" i="3" s="1"/>
  <c r="F72" i="3"/>
  <c r="D114" i="3"/>
  <c r="D26" i="2"/>
  <c r="D34" i="2"/>
  <c r="D38" i="2"/>
  <c r="B49" i="2"/>
  <c r="D50" i="2"/>
  <c r="F44" i="3"/>
  <c r="F45" i="3" s="1"/>
  <c r="F46" i="3" s="1"/>
  <c r="D27" i="2"/>
  <c r="D31" i="2"/>
  <c r="D35" i="2"/>
  <c r="D39" i="2"/>
  <c r="D43" i="2"/>
  <c r="C49" i="2"/>
  <c r="B57" i="3"/>
  <c r="E70" i="3"/>
  <c r="E71" i="3" s="1"/>
  <c r="G72" i="3"/>
  <c r="C81" i="3"/>
  <c r="E104" i="3"/>
  <c r="E38" i="4"/>
  <c r="D44" i="4"/>
  <c r="D45" i="4" s="1"/>
  <c r="D46" i="4" s="1"/>
  <c r="D49" i="4"/>
  <c r="D98" i="4"/>
  <c r="D99" i="4" s="1"/>
  <c r="D100" i="4" s="1"/>
  <c r="D49" i="5"/>
  <c r="D49" i="2"/>
  <c r="G38" i="4"/>
  <c r="G40" i="4"/>
  <c r="D25" i="2"/>
  <c r="D33" i="2"/>
  <c r="D37" i="2"/>
  <c r="D41" i="2"/>
  <c r="C50" i="2"/>
  <c r="B57" i="4"/>
  <c r="B69" i="4" s="1"/>
  <c r="G41" i="5" l="1"/>
  <c r="G39" i="5"/>
  <c r="F46" i="5"/>
  <c r="G40" i="5"/>
  <c r="G38" i="5"/>
  <c r="E38" i="5"/>
  <c r="D52" i="5" s="1"/>
  <c r="E39" i="5"/>
  <c r="G94" i="5"/>
  <c r="G93" i="5"/>
  <c r="D103" i="5" s="1"/>
  <c r="D46" i="5"/>
  <c r="E41" i="5"/>
  <c r="G91" i="5"/>
  <c r="E92" i="4"/>
  <c r="G42" i="4"/>
  <c r="E40" i="4"/>
  <c r="E39" i="4"/>
  <c r="D52" i="4" s="1"/>
  <c r="E94" i="4"/>
  <c r="E93" i="4"/>
  <c r="E42" i="4"/>
  <c r="E95" i="5"/>
  <c r="D105" i="5"/>
  <c r="C83" i="3"/>
  <c r="G95" i="5" l="1"/>
  <c r="G42" i="5"/>
  <c r="E42" i="5"/>
  <c r="D50" i="5"/>
  <c r="G65" i="5" s="1"/>
  <c r="H65" i="5" s="1"/>
  <c r="D50" i="4"/>
  <c r="D104" i="4"/>
  <c r="E96" i="4"/>
  <c r="D106" i="4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1" i="5" l="1"/>
  <c r="G64" i="5"/>
  <c r="H64" i="5" s="1"/>
  <c r="G61" i="5"/>
  <c r="H61" i="5" s="1"/>
  <c r="G66" i="5"/>
  <c r="H66" i="5" s="1"/>
  <c r="G63" i="5"/>
  <c r="H63" i="5" s="1"/>
  <c r="G69" i="5"/>
  <c r="H69" i="5" s="1"/>
  <c r="G67" i="5"/>
  <c r="H67" i="5" s="1"/>
  <c r="G60" i="5"/>
  <c r="H60" i="5" s="1"/>
  <c r="G68" i="5"/>
  <c r="H68" i="5" s="1"/>
  <c r="G70" i="5"/>
  <c r="H70" i="5" s="1"/>
  <c r="G62" i="5"/>
  <c r="H62" i="5" s="1"/>
  <c r="G71" i="5"/>
  <c r="H71" i="5" s="1"/>
  <c r="E131" i="4"/>
  <c r="F131" i="4" s="1"/>
  <c r="E129" i="4"/>
  <c r="F129" i="4" s="1"/>
  <c r="E127" i="4"/>
  <c r="F127" i="4" s="1"/>
  <c r="E113" i="4"/>
  <c r="F113" i="4" s="1"/>
  <c r="E111" i="4"/>
  <c r="F111" i="4" s="1"/>
  <c r="E109" i="4"/>
  <c r="F109" i="4" s="1"/>
  <c r="E130" i="4"/>
  <c r="F130" i="4" s="1"/>
  <c r="E128" i="4"/>
  <c r="F128" i="4" s="1"/>
  <c r="E126" i="4"/>
  <c r="F126" i="4" s="1"/>
  <c r="E114" i="4"/>
  <c r="F114" i="4" s="1"/>
  <c r="E112" i="4"/>
  <c r="F112" i="4" s="1"/>
  <c r="E110" i="4"/>
  <c r="F110" i="4" s="1"/>
  <c r="D105" i="4"/>
  <c r="D51" i="4"/>
  <c r="G70" i="4"/>
  <c r="H70" i="4" s="1"/>
  <c r="G65" i="4"/>
  <c r="H65" i="4" s="1"/>
  <c r="G61" i="4"/>
  <c r="H61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H60" i="4" s="1"/>
  <c r="F115" i="5"/>
  <c r="F117" i="5"/>
  <c r="H74" i="5" l="1"/>
  <c r="H72" i="5"/>
  <c r="H73" i="5" s="1"/>
  <c r="G120" i="5"/>
  <c r="F116" i="5"/>
  <c r="F116" i="4"/>
  <c r="F118" i="4"/>
  <c r="F135" i="4"/>
  <c r="F133" i="4"/>
  <c r="H72" i="4"/>
  <c r="H74" i="4"/>
  <c r="H73" i="4" l="1"/>
  <c r="G76" i="4"/>
  <c r="G121" i="4"/>
  <c r="F117" i="4"/>
  <c r="F134" i="4"/>
  <c r="G138" i="4"/>
</calcChain>
</file>

<file path=xl/sharedStrings.xml><?xml version="1.0" encoding="utf-8"?>
<sst xmlns="http://schemas.openxmlformats.org/spreadsheetml/2006/main" count="574" uniqueCount="158">
  <si>
    <t>HPLC System Suitability Report</t>
  </si>
  <si>
    <t>Analysis Data</t>
  </si>
  <si>
    <t>Assay</t>
  </si>
  <si>
    <t>Sample(s)</t>
  </si>
  <si>
    <t>Reference Substance:</t>
  </si>
  <si>
    <t>BRAVECTO</t>
  </si>
  <si>
    <t>% age Purity:</t>
  </si>
  <si>
    <t>NDQD201507018</t>
  </si>
  <si>
    <t>Weight (mg):</t>
  </si>
  <si>
    <t>Fluralaner</t>
  </si>
  <si>
    <t>Standard Conc (mg/mL):</t>
  </si>
  <si>
    <t>Contains Fluralaner 112.5mg</t>
  </si>
  <si>
    <t>2015-07-09 15:07:21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</si>
  <si>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</si>
  <si>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</si>
  <si>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</si>
  <si>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</si>
  <si>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</si>
  <si>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</si>
  <si>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</si>
  <si>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</si>
  <si>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</si>
  <si>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</si>
  <si>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</si>
  <si>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</si>
  <si>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</si>
  <si>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</si>
  <si>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</si>
  <si>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</si>
  <si>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</si>
  <si>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</si>
  <si>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</si>
  <si>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</si>
  <si>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</si>
  <si>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</si>
  <si>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</si>
  <si>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</si>
  <si>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</si>
  <si>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</si>
  <si>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</si>
  <si>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</si>
  <si>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</si>
  <si>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</si>
  <si>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</si>
  <si>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</si>
  <si>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</si>
  <si>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</si>
  <si>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</si>
  <si>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</si>
  <si>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</si>
  <si>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</si>
  <si>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</si>
  <si>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</si>
  <si>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</si>
  <si>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</si>
  <si>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</si>
  <si>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</si>
  <si>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</si>
  <si>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</si>
  <si>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</si>
  <si>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</si>
  <si>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</si>
  <si>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</si>
  <si>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</si>
  <si>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</si>
  <si>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</si>
  <si>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</si>
  <si>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</si>
  <si>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</si>
  <si>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</si>
  <si>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</si>
  <si>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</si>
  <si>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</si>
  <si>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</si>
  <si>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</si>
  <si>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</si>
  <si>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</si>
  <si>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</si>
  <si>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</si>
  <si>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</si>
  <si>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</si>
  <si>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</si>
  <si>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</si>
  <si>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</si>
  <si>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</si>
  <si>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</si>
  <si>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</si>
  <si>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</si>
  <si>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</si>
  <si>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</si>
  <si>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</si>
  <si>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</si>
  <si>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</si>
  <si>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</si>
  <si>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</si>
  <si>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</si>
  <si>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</si>
  <si>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</si>
  <si>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</si>
  <si>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</si>
  <si>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</si>
  <si>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</si>
  <si>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</si>
  <si>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</si>
  <si>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</si>
  <si>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</si>
  <si>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</si>
  <si>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</si>
  <si>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</si>
  <si>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</si>
  <si>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</si>
  <si>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</si>
  <si>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</si>
  <si>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</si>
  <si>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</si>
  <si>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</si>
  <si>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</si>
  <si>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</si>
  <si>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</si>
  <si>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</si>
  <si>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</si>
  <si>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</si>
  <si>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</si>
  <si>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</si>
  <si>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USP Amoxicillin RS</t>
  </si>
  <si>
    <t>F0J018</t>
  </si>
  <si>
    <t>Initial    Standard dilution</t>
  </si>
  <si>
    <t>Inj</t>
  </si>
  <si>
    <t>Initial    Sample dilution</t>
  </si>
  <si>
    <t>Powder Weight (mg)</t>
  </si>
  <si>
    <t>Determined Amt (mg)</t>
  </si>
  <si>
    <t>% Assay</t>
  </si>
  <si>
    <t>Assay Smp A</t>
  </si>
  <si>
    <t>Assay Smp B</t>
  </si>
  <si>
    <t>Assay Smp C</t>
  </si>
  <si>
    <t>Desired Sample Weight (mg):</t>
  </si>
  <si>
    <t>Analysis Data:</t>
  </si>
  <si>
    <t>Determination of Active Ingredient Dissolved after</t>
  </si>
  <si>
    <t>1hr</t>
  </si>
  <si>
    <t>Average Normalised Peak Area:</t>
  </si>
  <si>
    <t>3hrs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</si>
  <si>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</si>
  <si>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</si>
  <si>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</si>
  <si>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</si>
  <si>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</si>
  <si>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</si>
  <si>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</si>
  <si>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</si>
  <si>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</si>
  <si>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</si>
  <si>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</si>
  <si>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</si>
  <si>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Capsule No.</t>
  </si>
  <si>
    <t>Each tablet contains 112.5 mg fluralaner</t>
  </si>
  <si>
    <t>31/08/2015</t>
  </si>
  <si>
    <t>3/09/2015</t>
  </si>
  <si>
    <t>F15 - 1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</si>
</sst>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  <numFmt numFmtId="170" formatCode="0.0\ &quot;%&quot;"/>
    <numFmt numFmtId="171" formatCode="dd\-mmm\-yyyy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u/>
      <sz val="20"/>
      <color rgb="FF000000"/>
      <name val="Book Antiqua"/>
    </font>
    <font>
      <b/>
      <i/>
      <sz val="1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5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69" fontId="11" fillId="2" borderId="27" xfId="0" applyNumberFormat="1" applyFont="1" applyFill="1" applyBorder="1" applyAlignment="1">
      <alignment horizontal="center"/>
    </xf>
    <xf numFmtId="169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69" fontId="11" fillId="2" borderId="32" xfId="0" applyNumberFormat="1" applyFont="1" applyFill="1" applyBorder="1" applyAlignment="1">
      <alignment horizontal="center"/>
    </xf>
    <xf numFmtId="169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69" fontId="11" fillId="2" borderId="35" xfId="0" applyNumberFormat="1" applyFont="1" applyFill="1" applyBorder="1" applyAlignment="1">
      <alignment horizontal="center"/>
    </xf>
    <xf numFmtId="169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69" fontId="12" fillId="6" borderId="38" xfId="0" applyNumberFormat="1" applyFont="1" applyFill="1" applyBorder="1" applyAlignment="1">
      <alignment horizontal="center"/>
    </xf>
    <xf numFmtId="169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9" fontId="12" fillId="7" borderId="13" xfId="0" applyNumberFormat="1" applyFont="1" applyFill="1" applyBorder="1" applyAlignment="1">
      <alignment horizontal="center"/>
    </xf>
    <xf numFmtId="169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3" fillId="3" borderId="47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69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69" fontId="11" fillId="2" borderId="3" xfId="0" applyNumberFormat="1" applyFont="1" applyFill="1" applyBorder="1" applyAlignment="1">
      <alignment horizontal="center"/>
    </xf>
    <xf numFmtId="169" fontId="14" fillId="3" borderId="0" xfId="0" applyNumberFormat="1" applyFont="1" applyFill="1" applyAlignment="1" applyProtection="1">
      <alignment horizontal="center"/>
      <protection locked="0"/>
    </xf>
    <xf numFmtId="169" fontId="11" fillId="2" borderId="5" xfId="0" applyNumberFormat="1" applyFont="1" applyFill="1" applyBorder="1" applyAlignment="1">
      <alignment horizontal="center"/>
    </xf>
    <xf numFmtId="169" fontId="14" fillId="3" borderId="7" xfId="0" applyNumberFormat="1" applyFont="1" applyFill="1" applyBorder="1" applyAlignment="1" applyProtection="1">
      <alignment horizontal="center"/>
      <protection locked="0"/>
    </xf>
    <xf numFmtId="169" fontId="12" fillId="6" borderId="53" xfId="0" applyNumberFormat="1" applyFont="1" applyFill="1" applyBorder="1" applyAlignment="1">
      <alignment horizontal="center"/>
    </xf>
    <xf numFmtId="169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69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69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21" fillId="2" borderId="0" xfId="0" applyFont="1" applyFill="1" applyAlignment="1">
      <alignment vertical="center" wrapText="1"/>
    </xf>
    <xf numFmtId="0" fontId="16" fillId="2" borderId="0" xfId="0" applyFont="1" applyFill="1"/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31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69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60" xfId="0" applyFont="1" applyFill="1" applyBorder="1" applyAlignment="1">
      <alignment horizontal="right"/>
    </xf>
    <xf numFmtId="169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9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1" fillId="2" borderId="52" xfId="0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5" fontId="11" fillId="3" borderId="0" xfId="0" applyNumberFormat="1" applyFont="1" applyFill="1" applyAlignment="1" applyProtection="1">
      <alignment horizontal="left"/>
      <protection locked="0"/>
    </xf>
    <xf numFmtId="169" fontId="11" fillId="2" borderId="27" xfId="0" applyNumberFormat="1" applyFont="1" applyFill="1" applyBorder="1" applyAlignment="1">
      <alignment horizontal="center"/>
    </xf>
    <xf numFmtId="169" fontId="11" fillId="2" borderId="32" xfId="0" applyNumberFormat="1" applyFont="1" applyFill="1" applyBorder="1" applyAlignment="1">
      <alignment horizontal="center"/>
    </xf>
    <xf numFmtId="169" fontId="11" fillId="2" borderId="35" xfId="0" applyNumberFormat="1" applyFont="1" applyFill="1" applyBorder="1" applyAlignment="1">
      <alignment horizontal="center"/>
    </xf>
    <xf numFmtId="169" fontId="11" fillId="2" borderId="28" xfId="0" applyNumberFormat="1" applyFont="1" applyFill="1" applyBorder="1" applyAlignment="1">
      <alignment horizontal="center"/>
    </xf>
    <xf numFmtId="169" fontId="11" fillId="2" borderId="24" xfId="0" applyNumberFormat="1" applyFont="1" applyFill="1" applyBorder="1" applyAlignment="1">
      <alignment horizontal="center"/>
    </xf>
    <xf numFmtId="169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5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31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5" xfId="0" applyNumberFormat="1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1" fillId="2" borderId="26" xfId="0" applyFont="1" applyFill="1" applyBorder="1" applyAlignment="1">
      <alignment horizontal="right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1" fontId="12" fillId="6" borderId="62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2" fontId="11" fillId="7" borderId="28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2" fontId="14" fillId="3" borderId="0" xfId="0" applyNumberFormat="1" applyFont="1" applyFill="1" applyAlignment="1" applyProtection="1">
      <alignment horizontal="center"/>
      <protection locked="0"/>
    </xf>
    <xf numFmtId="0" fontId="14" fillId="3" borderId="25" xfId="0" applyFont="1" applyFill="1" applyBorder="1" applyAlignment="1" applyProtection="1">
      <alignment horizontal="center"/>
      <protection locked="0"/>
    </xf>
    <xf numFmtId="0" fontId="14" fillId="3" borderId="31" xfId="0" applyFont="1" applyFill="1" applyBorder="1" applyAlignment="1" applyProtection="1">
      <alignment horizontal="center"/>
      <protection locked="0"/>
    </xf>
    <xf numFmtId="0" fontId="14" fillId="3" borderId="30" xfId="0" applyFont="1" applyFill="1" applyBorder="1" applyAlignment="1" applyProtection="1">
      <alignment horizontal="center"/>
      <protection locked="0"/>
    </xf>
    <xf numFmtId="0" fontId="14" fillId="3" borderId="23" xfId="0" applyFont="1" applyFill="1" applyBorder="1" applyAlignment="1" applyProtection="1">
      <alignment horizontal="center"/>
      <protection locked="0"/>
    </xf>
    <xf numFmtId="0" fontId="14" fillId="3" borderId="34" xfId="0" applyFont="1" applyFill="1" applyBorder="1" applyAlignment="1" applyProtection="1">
      <alignment horizontal="center"/>
      <protection locked="0"/>
    </xf>
    <xf numFmtId="0" fontId="14" fillId="3" borderId="54" xfId="0" applyFont="1" applyFill="1" applyBorder="1" applyAlignment="1" applyProtection="1">
      <alignment horizontal="center"/>
      <protection locked="0"/>
    </xf>
    <xf numFmtId="0" fontId="14" fillId="3" borderId="16" xfId="0" applyFont="1" applyFill="1" applyBorder="1" applyAlignment="1" applyProtection="1">
      <alignment horizontal="center"/>
      <protection locked="0"/>
    </xf>
    <xf numFmtId="0" fontId="14" fillId="3" borderId="49" xfId="0" applyFont="1" applyFill="1" applyBorder="1" applyAlignment="1" applyProtection="1">
      <alignment horizontal="center"/>
      <protection locked="0"/>
    </xf>
    <xf numFmtId="2" fontId="13" fillId="2" borderId="48" xfId="0" applyNumberFormat="1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0" fontId="14" fillId="3" borderId="43" xfId="0" applyFont="1" applyFill="1" applyBorder="1" applyAlignment="1" applyProtection="1">
      <alignment horizontal="center"/>
      <protection locked="0"/>
    </xf>
    <xf numFmtId="10" fontId="14" fillId="7" borderId="33" xfId="0" applyNumberFormat="1" applyFont="1" applyFill="1" applyBorder="1" applyAlignment="1">
      <alignment horizontal="center"/>
    </xf>
    <xf numFmtId="10" fontId="14" fillId="6" borderId="63" xfId="0" applyNumberFormat="1" applyFont="1" applyFill="1" applyBorder="1" applyAlignment="1">
      <alignment horizontal="center"/>
    </xf>
    <xf numFmtId="0" fontId="14" fillId="7" borderId="64" xfId="0" applyFont="1" applyFill="1" applyBorder="1" applyAlignment="1">
      <alignment horizontal="center"/>
    </xf>
    <xf numFmtId="169" fontId="14" fillId="3" borderId="34" xfId="0" applyNumberFormat="1" applyFont="1" applyFill="1" applyBorder="1" applyAlignment="1" applyProtection="1">
      <alignment horizontal="center"/>
      <protection locked="0"/>
    </xf>
    <xf numFmtId="1" fontId="14" fillId="3" borderId="32" xfId="0" applyNumberFormat="1" applyFont="1" applyFill="1" applyBorder="1" applyAlignment="1" applyProtection="1">
      <alignment horizontal="center"/>
      <protection locked="0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center"/>
      <protection locked="0"/>
    </xf>
    <xf numFmtId="0" fontId="13" fillId="3" borderId="25" xfId="0" applyFont="1" applyFill="1" applyBorder="1" applyAlignment="1" applyProtection="1">
      <alignment horizontal="center"/>
      <protection locked="0"/>
    </xf>
    <xf numFmtId="0" fontId="13" fillId="3" borderId="31" xfId="0" applyFont="1" applyFill="1" applyBorder="1" applyAlignment="1" applyProtection="1">
      <alignment horizontal="center"/>
      <protection locked="0"/>
    </xf>
    <xf numFmtId="1" fontId="13" fillId="3" borderId="32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4" fillId="7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165" fontId="14" fillId="2" borderId="0" xfId="0" applyNumberFormat="1" applyFont="1" applyFill="1" applyAlignment="1">
      <alignment horizontal="center"/>
    </xf>
    <xf numFmtId="0" fontId="11" fillId="2" borderId="31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3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5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31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69" fontId="11" fillId="2" borderId="27" xfId="0" applyNumberFormat="1" applyFont="1" applyFill="1" applyBorder="1" applyAlignment="1">
      <alignment horizontal="center"/>
    </xf>
    <xf numFmtId="169" fontId="11" fillId="2" borderId="28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69" fontId="11" fillId="2" borderId="32" xfId="0" applyNumberFormat="1" applyFont="1" applyFill="1" applyBorder="1" applyAlignment="1">
      <alignment horizontal="center"/>
    </xf>
    <xf numFmtId="169" fontId="11" fillId="2" borderId="2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69" fontId="11" fillId="2" borderId="35" xfId="0" applyNumberFormat="1" applyFont="1" applyFill="1" applyBorder="1" applyAlignment="1">
      <alignment horizontal="center"/>
    </xf>
    <xf numFmtId="169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69" fontId="12" fillId="6" borderId="38" xfId="0" applyNumberFormat="1" applyFont="1" applyFill="1" applyBorder="1" applyAlignment="1">
      <alignment horizontal="center"/>
    </xf>
    <xf numFmtId="169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1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30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9" fontId="12" fillId="7" borderId="13" xfId="0" applyNumberFormat="1" applyFont="1" applyFill="1" applyBorder="1" applyAlignment="1">
      <alignment horizontal="center"/>
    </xf>
    <xf numFmtId="169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1" fillId="2" borderId="25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/>
    </xf>
    <xf numFmtId="2" fontId="13" fillId="2" borderId="48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0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4" fillId="7" borderId="6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9" fontId="14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62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169" fontId="12" fillId="6" borderId="15" xfId="0" applyNumberFormat="1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4" fillId="3" borderId="54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2" fontId="11" fillId="6" borderId="4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166" fontId="11" fillId="6" borderId="4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4" fillId="3" borderId="32" xfId="0" applyNumberFormat="1" applyFont="1" applyFill="1" applyBorder="1" applyAlignment="1" applyProtection="1">
      <alignment horizontal="center"/>
      <protection locked="0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4" fillId="6" borderId="63" xfId="0" applyNumberFormat="1" applyFont="1" applyFill="1" applyBorder="1" applyAlignment="1">
      <alignment horizontal="center"/>
    </xf>
    <xf numFmtId="166" fontId="11" fillId="2" borderId="27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7" fillId="2" borderId="20" xfId="0" applyFont="1" applyFill="1" applyBorder="1" applyAlignment="1">
      <alignment horizontal="center"/>
    </xf>
    <xf numFmtId="0" fontId="24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10" fontId="21" fillId="2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E29" sqref="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45" t="s">
        <v>0</v>
      </c>
      <c r="B15" s="645"/>
      <c r="C15" s="645"/>
      <c r="D15" s="645"/>
      <c r="E15" s="64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36285107</v>
      </c>
      <c r="C24" s="18">
        <v>342422.6</v>
      </c>
      <c r="D24" s="19">
        <v>1</v>
      </c>
      <c r="E24" s="20">
        <v>15.8</v>
      </c>
    </row>
    <row r="25" spans="1:6" ht="16.5" customHeight="1" x14ac:dyDescent="0.3">
      <c r="A25" s="17">
        <v>2</v>
      </c>
      <c r="B25" s="18">
        <v>36399426</v>
      </c>
      <c r="C25" s="18">
        <v>335257.09999999998</v>
      </c>
      <c r="D25" s="19">
        <v>1.1000000000000001</v>
      </c>
      <c r="E25" s="19">
        <v>15.7</v>
      </c>
    </row>
    <row r="26" spans="1:6" ht="16.5" customHeight="1" x14ac:dyDescent="0.3">
      <c r="A26" s="17">
        <v>3</v>
      </c>
      <c r="B26" s="18">
        <v>35918769</v>
      </c>
      <c r="C26" s="18">
        <v>334049.7</v>
      </c>
      <c r="D26" s="19">
        <v>1</v>
      </c>
      <c r="E26" s="19">
        <v>15.7</v>
      </c>
    </row>
    <row r="27" spans="1:6" ht="16.5" customHeight="1" x14ac:dyDescent="0.3">
      <c r="A27" s="17">
        <v>4</v>
      </c>
      <c r="B27" s="18">
        <v>35731693</v>
      </c>
      <c r="C27" s="18">
        <v>325893.7</v>
      </c>
      <c r="D27" s="19">
        <v>1.1000000000000001</v>
      </c>
      <c r="E27" s="19">
        <v>15.7</v>
      </c>
    </row>
    <row r="28" spans="1:6" ht="16.5" customHeight="1" x14ac:dyDescent="0.3">
      <c r="A28" s="17">
        <v>5</v>
      </c>
      <c r="B28" s="18">
        <v>35600905</v>
      </c>
      <c r="C28" s="18">
        <v>327960.40000000002</v>
      </c>
      <c r="D28" s="19">
        <v>1</v>
      </c>
      <c r="E28" s="19">
        <v>15.7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AVERAGE(B24:B29)</f>
        <v>35987180</v>
      </c>
      <c r="C30" s="25">
        <f>AVERAGE(C24:C29)</f>
        <v>333116.7</v>
      </c>
      <c r="D30" s="26">
        <f>AVERAGE(D24:D29)</f>
        <v>1.04</v>
      </c>
      <c r="E30" s="26">
        <f>AVERAGE(E24:E29)</f>
        <v>15.720000000000002</v>
      </c>
    </row>
    <row r="31" spans="1:6" ht="16.5" customHeight="1" x14ac:dyDescent="0.3">
      <c r="A31" s="27" t="s">
        <v>19</v>
      </c>
      <c r="B31" s="28">
        <f>(STDEV(B24:B29)/B30)</f>
        <v>9.6045441657865906E-3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46" t="s">
        <v>26</v>
      </c>
      <c r="C59" s="64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0" t="s">
        <v>31</v>
      </c>
      <c r="B11" s="651"/>
      <c r="C11" s="651"/>
      <c r="D11" s="651"/>
      <c r="E11" s="651"/>
      <c r="F11" s="652"/>
      <c r="G11" s="91"/>
    </row>
    <row r="12" spans="1:7" ht="16.5" customHeight="1" x14ac:dyDescent="0.3">
      <c r="A12" s="649" t="s">
        <v>32</v>
      </c>
      <c r="B12" s="649"/>
      <c r="C12" s="649"/>
      <c r="D12" s="649"/>
      <c r="E12" s="649"/>
      <c r="F12" s="649"/>
      <c r="G12" s="90"/>
    </row>
    <row r="14" spans="1:7" ht="16.5" customHeight="1" x14ac:dyDescent="0.3">
      <c r="A14" s="654" t="s">
        <v>33</v>
      </c>
      <c r="B14" s="654"/>
      <c r="C14" s="60" t="s">
        <v>5</v>
      </c>
    </row>
    <row r="15" spans="1:7" ht="16.5" customHeight="1" x14ac:dyDescent="0.3">
      <c r="A15" s="654" t="s">
        <v>34</v>
      </c>
      <c r="B15" s="654"/>
      <c r="C15" s="60" t="s">
        <v>7</v>
      </c>
    </row>
    <row r="16" spans="1:7" ht="16.5" customHeight="1" x14ac:dyDescent="0.3">
      <c r="A16" s="654" t="s">
        <v>35</v>
      </c>
      <c r="B16" s="654"/>
      <c r="C16" s="60" t="s">
        <v>9</v>
      </c>
    </row>
    <row r="17" spans="1:5" ht="16.5" customHeight="1" x14ac:dyDescent="0.3">
      <c r="A17" s="654" t="s">
        <v>36</v>
      </c>
      <c r="B17" s="654"/>
      <c r="C17" s="60" t="s">
        <v>11</v>
      </c>
    </row>
    <row r="18" spans="1:5" ht="16.5" customHeight="1" x14ac:dyDescent="0.3">
      <c r="A18" s="654" t="s">
        <v>37</v>
      </c>
      <c r="B18" s="654"/>
      <c r="C18" s="97" t="s">
        <v>12</v>
      </c>
    </row>
    <row r="19" spans="1:5" ht="16.5" customHeight="1" x14ac:dyDescent="0.3">
      <c r="A19" s="654" t="s">
        <v>38</v>
      </c>
      <c r="B19" s="65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49" t="s">
        <v>1</v>
      </c>
      <c r="B21" s="649"/>
      <c r="C21" s="59" t="s">
        <v>39</v>
      </c>
      <c r="D21" s="66"/>
    </row>
    <row r="22" spans="1:5" ht="15.75" customHeight="1" x14ac:dyDescent="0.3">
      <c r="A22" s="653"/>
      <c r="B22" s="653"/>
      <c r="C22" s="57"/>
      <c r="D22" s="653"/>
      <c r="E22" s="65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829.5</v>
      </c>
      <c r="D24" s="87">
        <f t="shared" ref="D24:D43" si="0">(C24-$C$46)/$C$46</f>
        <v>-8.7474008747401473E-3</v>
      </c>
      <c r="E24" s="53"/>
    </row>
    <row r="25" spans="1:5" ht="15.75" customHeight="1" x14ac:dyDescent="0.3">
      <c r="C25" s="95">
        <v>837.8</v>
      </c>
      <c r="D25" s="88">
        <f t="shared" si="0"/>
        <v>1.1711001171098975E-3</v>
      </c>
      <c r="E25" s="53"/>
    </row>
    <row r="26" spans="1:5" ht="15.75" customHeight="1" x14ac:dyDescent="0.3">
      <c r="C26" s="95">
        <v>835.4</v>
      </c>
      <c r="D26" s="88">
        <f t="shared" si="0"/>
        <v>-1.6969001696901039E-3</v>
      </c>
      <c r="E26" s="53"/>
    </row>
    <row r="27" spans="1:5" ht="15.75" customHeight="1" x14ac:dyDescent="0.3">
      <c r="C27" s="95">
        <v>848.5</v>
      </c>
      <c r="D27" s="88">
        <f t="shared" si="0"/>
        <v>1.3957601395760079E-2</v>
      </c>
      <c r="E27" s="53"/>
    </row>
    <row r="28" spans="1:5" ht="15.75" customHeight="1" x14ac:dyDescent="0.3">
      <c r="C28" s="95">
        <v>825.2</v>
      </c>
      <c r="D28" s="88">
        <f t="shared" si="0"/>
        <v>-1.3885901388590144E-2</v>
      </c>
      <c r="E28" s="53"/>
    </row>
    <row r="29" spans="1:5" ht="15.75" customHeight="1" x14ac:dyDescent="0.3">
      <c r="C29" s="95">
        <v>854.2</v>
      </c>
      <c r="D29" s="88">
        <f t="shared" si="0"/>
        <v>2.0769102076910202E-2</v>
      </c>
      <c r="E29" s="53"/>
    </row>
    <row r="30" spans="1:5" ht="15.75" customHeight="1" x14ac:dyDescent="0.3">
      <c r="C30" s="95">
        <v>829.8</v>
      </c>
      <c r="D30" s="88">
        <f t="shared" si="0"/>
        <v>-8.3889008388901981E-3</v>
      </c>
      <c r="E30" s="53"/>
    </row>
    <row r="31" spans="1:5" ht="15.75" customHeight="1" x14ac:dyDescent="0.3">
      <c r="C31" s="95">
        <v>826.5</v>
      </c>
      <c r="D31" s="88">
        <f t="shared" si="0"/>
        <v>-1.2332401233240182E-2</v>
      </c>
      <c r="E31" s="53"/>
    </row>
    <row r="32" spans="1:5" ht="15.75" customHeight="1" x14ac:dyDescent="0.3">
      <c r="C32" s="95">
        <v>836.5</v>
      </c>
      <c r="D32" s="88">
        <f t="shared" si="0"/>
        <v>-3.8240003824006359E-4</v>
      </c>
      <c r="E32" s="53"/>
    </row>
    <row r="33" spans="1:7" ht="15.75" customHeight="1" x14ac:dyDescent="0.3">
      <c r="C33" s="95">
        <v>838.8</v>
      </c>
      <c r="D33" s="88">
        <f t="shared" si="0"/>
        <v>2.3661002366099095E-3</v>
      </c>
      <c r="E33" s="53"/>
    </row>
    <row r="34" spans="1:7" ht="15.75" customHeight="1" x14ac:dyDescent="0.3">
      <c r="C34" s="95">
        <v>836</v>
      </c>
      <c r="D34" s="88">
        <f t="shared" si="0"/>
        <v>-9.7990009799006953E-4</v>
      </c>
      <c r="E34" s="53"/>
    </row>
    <row r="35" spans="1:7" ht="15.75" customHeight="1" x14ac:dyDescent="0.3">
      <c r="C35" s="95">
        <v>836</v>
      </c>
      <c r="D35" s="88">
        <f t="shared" si="0"/>
        <v>-9.7990009799006953E-4</v>
      </c>
      <c r="E35" s="53"/>
    </row>
    <row r="36" spans="1:7" ht="15.75" customHeight="1" x14ac:dyDescent="0.3">
      <c r="C36" s="95">
        <v>833.2</v>
      </c>
      <c r="D36" s="88">
        <f t="shared" si="0"/>
        <v>-4.3259004325900486E-3</v>
      </c>
      <c r="E36" s="53"/>
    </row>
    <row r="37" spans="1:7" ht="15.75" customHeight="1" x14ac:dyDescent="0.3">
      <c r="C37" s="95">
        <v>824.4</v>
      </c>
      <c r="D37" s="88">
        <f t="shared" si="0"/>
        <v>-1.4841901484190234E-2</v>
      </c>
      <c r="E37" s="53"/>
    </row>
    <row r="38" spans="1:7" ht="15.75" customHeight="1" x14ac:dyDescent="0.3">
      <c r="C38" s="95">
        <v>849.6</v>
      </c>
      <c r="D38" s="88">
        <f t="shared" si="0"/>
        <v>1.5272101527210119E-2</v>
      </c>
      <c r="E38" s="53"/>
    </row>
    <row r="39" spans="1:7" ht="15.75" customHeight="1" x14ac:dyDescent="0.3">
      <c r="C39" s="95">
        <v>844</v>
      </c>
      <c r="D39" s="88">
        <f t="shared" si="0"/>
        <v>8.5801008580100261E-3</v>
      </c>
      <c r="E39" s="53"/>
    </row>
    <row r="40" spans="1:7" ht="15.75" customHeight="1" x14ac:dyDescent="0.3">
      <c r="C40" s="95">
        <v>836.7</v>
      </c>
      <c r="D40" s="88">
        <f t="shared" si="0"/>
        <v>-1.4340001434000687E-4</v>
      </c>
      <c r="E40" s="53"/>
    </row>
    <row r="41" spans="1:7" ht="15.75" customHeight="1" x14ac:dyDescent="0.3">
      <c r="C41" s="95">
        <v>838.7</v>
      </c>
      <c r="D41" s="88">
        <f t="shared" si="0"/>
        <v>2.2466002246600168E-3</v>
      </c>
      <c r="E41" s="53"/>
    </row>
    <row r="42" spans="1:7" ht="15.75" customHeight="1" x14ac:dyDescent="0.3">
      <c r="C42" s="95">
        <v>838.7</v>
      </c>
      <c r="D42" s="88">
        <f t="shared" si="0"/>
        <v>2.2466002246600168E-3</v>
      </c>
      <c r="E42" s="53"/>
    </row>
    <row r="43" spans="1:7" ht="16.5" customHeight="1" x14ac:dyDescent="0.3">
      <c r="C43" s="96">
        <v>836.9</v>
      </c>
      <c r="D43" s="89">
        <f t="shared" si="0"/>
        <v>9.5600009559913997E-5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16736.400000000001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836.82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47">
        <f>C46</f>
        <v>836.82</v>
      </c>
      <c r="C49" s="93">
        <f>-IF(C46&lt;=80,10%,IF(C46&lt;250,7.5%,5%))</f>
        <v>-0.05</v>
      </c>
      <c r="D49" s="81">
        <f>IF(C46&lt;=80,C46*0.9,IF(C46&lt;250,C46*0.925,C46*0.95))</f>
        <v>794.97900000000004</v>
      </c>
    </row>
    <row r="50" spans="1:6" ht="17.25" customHeight="1" x14ac:dyDescent="0.3">
      <c r="B50" s="648"/>
      <c r="C50" s="94">
        <f>IF(C46&lt;=80, 10%, IF(C46&lt;250, 7.5%, 5%))</f>
        <v>0.05</v>
      </c>
      <c r="D50" s="81">
        <f>IF(C46&lt;=80, C46*1.1, IF(C46&lt;250, C46*1.075, C46*1.05))</f>
        <v>878.66100000000006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40" zoomScale="60" zoomScaleNormal="70" workbookViewId="0">
      <selection activeCell="D113" sqref="D11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655" t="s">
        <v>45</v>
      </c>
      <c r="B1" s="655"/>
      <c r="C1" s="655"/>
      <c r="D1" s="655"/>
      <c r="E1" s="655"/>
      <c r="F1" s="655"/>
      <c r="G1" s="655"/>
    </row>
    <row r="2" spans="1:7" x14ac:dyDescent="0.2">
      <c r="A2" s="655"/>
      <c r="B2" s="655"/>
      <c r="C2" s="655"/>
      <c r="D2" s="655"/>
      <c r="E2" s="655"/>
      <c r="F2" s="655"/>
      <c r="G2" s="655"/>
    </row>
    <row r="3" spans="1:7" x14ac:dyDescent="0.2">
      <c r="A3" s="655"/>
      <c r="B3" s="655"/>
      <c r="C3" s="655"/>
      <c r="D3" s="655"/>
      <c r="E3" s="655"/>
      <c r="F3" s="655"/>
      <c r="G3" s="655"/>
    </row>
    <row r="4" spans="1:7" x14ac:dyDescent="0.2">
      <c r="A4" s="655"/>
      <c r="B4" s="655"/>
      <c r="C4" s="655"/>
      <c r="D4" s="655"/>
      <c r="E4" s="655"/>
      <c r="F4" s="655"/>
      <c r="G4" s="655"/>
    </row>
    <row r="5" spans="1:7" x14ac:dyDescent="0.2">
      <c r="A5" s="655"/>
      <c r="B5" s="655"/>
      <c r="C5" s="655"/>
      <c r="D5" s="655"/>
      <c r="E5" s="655"/>
      <c r="F5" s="655"/>
      <c r="G5" s="655"/>
    </row>
    <row r="6" spans="1:7" x14ac:dyDescent="0.2">
      <c r="A6" s="655"/>
      <c r="B6" s="655"/>
      <c r="C6" s="655"/>
      <c r="D6" s="655"/>
      <c r="E6" s="655"/>
      <c r="F6" s="655"/>
      <c r="G6" s="655"/>
    </row>
    <row r="7" spans="1:7" x14ac:dyDescent="0.2">
      <c r="A7" s="655"/>
      <c r="B7" s="655"/>
      <c r="C7" s="655"/>
      <c r="D7" s="655"/>
      <c r="E7" s="655"/>
      <c r="F7" s="655"/>
      <c r="G7" s="655"/>
    </row>
    <row r="8" spans="1:7" x14ac:dyDescent="0.2">
      <c r="A8" s="656" t="s">
        <v>46</v>
      </c>
      <c r="B8" s="656"/>
      <c r="C8" s="656"/>
      <c r="D8" s="656"/>
      <c r="E8" s="656"/>
      <c r="F8" s="656"/>
      <c r="G8" s="656"/>
    </row>
    <row r="9" spans="1:7" x14ac:dyDescent="0.2">
      <c r="A9" s="656"/>
      <c r="B9" s="656"/>
      <c r="C9" s="656"/>
      <c r="D9" s="656"/>
      <c r="E9" s="656"/>
      <c r="F9" s="656"/>
      <c r="G9" s="656"/>
    </row>
    <row r="10" spans="1:7" x14ac:dyDescent="0.2">
      <c r="A10" s="656"/>
      <c r="B10" s="656"/>
      <c r="C10" s="656"/>
      <c r="D10" s="656"/>
      <c r="E10" s="656"/>
      <c r="F10" s="656"/>
      <c r="G10" s="656"/>
    </row>
    <row r="11" spans="1:7" x14ac:dyDescent="0.2">
      <c r="A11" s="656"/>
      <c r="B11" s="656"/>
      <c r="C11" s="656"/>
      <c r="D11" s="656"/>
      <c r="E11" s="656"/>
      <c r="F11" s="656"/>
      <c r="G11" s="656"/>
    </row>
    <row r="12" spans="1:7" x14ac:dyDescent="0.2">
      <c r="A12" s="656"/>
      <c r="B12" s="656"/>
      <c r="C12" s="656"/>
      <c r="D12" s="656"/>
      <c r="E12" s="656"/>
      <c r="F12" s="656"/>
      <c r="G12" s="656"/>
    </row>
    <row r="13" spans="1:7" x14ac:dyDescent="0.2">
      <c r="A13" s="656"/>
      <c r="B13" s="656"/>
      <c r="C13" s="656"/>
      <c r="D13" s="656"/>
      <c r="E13" s="656"/>
      <c r="F13" s="656"/>
      <c r="G13" s="656"/>
    </row>
    <row r="14" spans="1:7" x14ac:dyDescent="0.2">
      <c r="A14" s="656"/>
      <c r="B14" s="656"/>
      <c r="C14" s="656"/>
      <c r="D14" s="656"/>
      <c r="E14" s="656"/>
      <c r="F14" s="656"/>
      <c r="G14" s="656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678" t="s">
        <v>31</v>
      </c>
      <c r="B16" s="679"/>
      <c r="C16" s="679"/>
      <c r="D16" s="679"/>
      <c r="E16" s="679"/>
      <c r="F16" s="679"/>
      <c r="G16" s="679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671" t="s">
        <v>5</v>
      </c>
      <c r="C18" s="671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8" t="s">
        <v>7</v>
      </c>
      <c r="C19" s="98">
        <v>12</v>
      </c>
      <c r="E19" s="98"/>
      <c r="F19" s="98"/>
      <c r="G19" s="98"/>
    </row>
    <row r="20" spans="1:7" ht="26.25" customHeight="1" x14ac:dyDescent="0.4">
      <c r="A20" s="100" t="s">
        <v>35</v>
      </c>
      <c r="B20" s="672" t="s">
        <v>9</v>
      </c>
      <c r="C20" s="672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 t="s">
        <v>12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/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671"/>
      <c r="C26" s="671"/>
      <c r="D26" s="98"/>
      <c r="E26" s="98"/>
      <c r="F26" s="98"/>
      <c r="G26" s="98"/>
    </row>
    <row r="27" spans="1:7" ht="26.25" customHeight="1" x14ac:dyDescent="0.4">
      <c r="A27" s="109" t="s">
        <v>48</v>
      </c>
      <c r="B27" s="672"/>
      <c r="C27" s="672"/>
      <c r="D27" s="98"/>
      <c r="E27" s="98"/>
      <c r="F27" s="98"/>
      <c r="G27" s="98"/>
    </row>
    <row r="28" spans="1:7" ht="27" customHeight="1" x14ac:dyDescent="0.4">
      <c r="A28" s="109" t="s">
        <v>6</v>
      </c>
      <c r="B28" s="110"/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/>
      <c r="C29" s="658" t="s">
        <v>50</v>
      </c>
      <c r="D29" s="659"/>
      <c r="E29" s="659"/>
      <c r="F29" s="659"/>
      <c r="G29" s="676"/>
    </row>
    <row r="30" spans="1:7" ht="19.5" customHeight="1" x14ac:dyDescent="0.3">
      <c r="A30" s="109" t="s">
        <v>51</v>
      </c>
      <c r="B30" s="113">
        <f>B28-B29</f>
        <v>0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1</v>
      </c>
      <c r="C31" s="658" t="s">
        <v>53</v>
      </c>
      <c r="D31" s="659"/>
      <c r="E31" s="659"/>
      <c r="F31" s="659"/>
      <c r="G31" s="676"/>
    </row>
    <row r="32" spans="1:7" ht="27" customHeight="1" x14ac:dyDescent="0.4">
      <c r="A32" s="109" t="s">
        <v>54</v>
      </c>
      <c r="B32" s="115">
        <v>1</v>
      </c>
      <c r="C32" s="658" t="s">
        <v>55</v>
      </c>
      <c r="D32" s="659"/>
      <c r="E32" s="659"/>
      <c r="F32" s="659"/>
      <c r="G32" s="676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58</v>
      </c>
      <c r="B36" s="120">
        <v>100</v>
      </c>
      <c r="C36" s="98"/>
      <c r="D36" s="660" t="s">
        <v>59</v>
      </c>
      <c r="E36" s="677"/>
      <c r="F36" s="660" t="s">
        <v>60</v>
      </c>
      <c r="G36" s="661"/>
    </row>
    <row r="37" spans="1:7" ht="26.25" customHeight="1" x14ac:dyDescent="0.4">
      <c r="A37" s="121" t="s">
        <v>61</v>
      </c>
      <c r="B37" s="122">
        <v>1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</row>
    <row r="38" spans="1:7" ht="26.25" customHeight="1" x14ac:dyDescent="0.4">
      <c r="A38" s="121" t="s">
        <v>65</v>
      </c>
      <c r="B38" s="122">
        <v>1</v>
      </c>
      <c r="C38" s="127">
        <v>1</v>
      </c>
      <c r="D38" s="128"/>
      <c r="E38" s="129" t="str">
        <f>IF(ISBLANK(D38),"-",$D$48/$D$45*D38)</f>
        <v>-</v>
      </c>
      <c r="F38" s="128"/>
      <c r="G38" s="130" t="str">
        <f>IF(ISBLANK(F38),"-",$D$48/$F$45*F38)</f>
        <v>-</v>
      </c>
    </row>
    <row r="39" spans="1:7" ht="26.25" customHeight="1" x14ac:dyDescent="0.4">
      <c r="A39" s="121" t="s">
        <v>66</v>
      </c>
      <c r="B39" s="122">
        <v>1</v>
      </c>
      <c r="C39" s="131">
        <v>2</v>
      </c>
      <c r="D39" s="132"/>
      <c r="E39" s="133" t="str">
        <f>IF(ISBLANK(D39),"-",$D$48/$D$45*D39)</f>
        <v>-</v>
      </c>
      <c r="F39" s="132"/>
      <c r="G39" s="134" t="str">
        <f>IF(ISBLANK(F39),"-",$D$48/$F$45*F39)</f>
        <v>-</v>
      </c>
    </row>
    <row r="40" spans="1:7" ht="26.25" customHeight="1" x14ac:dyDescent="0.4">
      <c r="A40" s="121" t="s">
        <v>67</v>
      </c>
      <c r="B40" s="122">
        <v>1</v>
      </c>
      <c r="C40" s="131">
        <v>3</v>
      </c>
      <c r="D40" s="132"/>
      <c r="E40" s="133" t="str">
        <f>IF(ISBLANK(D40),"-",$D$48/$D$45*D40)</f>
        <v>-</v>
      </c>
      <c r="F40" s="132"/>
      <c r="G40" s="134" t="str">
        <f>IF(ISBLANK(F40),"-",$D$48/$F$45*F40)</f>
        <v>-</v>
      </c>
    </row>
    <row r="41" spans="1:7" ht="26.25" customHeight="1" x14ac:dyDescent="0.4">
      <c r="A41" s="121" t="s">
        <v>68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69</v>
      </c>
      <c r="B42" s="122">
        <v>1</v>
      </c>
      <c r="C42" s="139" t="s">
        <v>70</v>
      </c>
      <c r="D42" s="140" t="e">
        <f>AVERAGE(D38:D41)</f>
        <v>#DIV/0!</v>
      </c>
      <c r="E42" s="141" t="e">
        <f>AVERAGE(E38:E41)</f>
        <v>#DIV/0!</v>
      </c>
      <c r="F42" s="140" t="e">
        <f>AVERAGE(F38:F41)</f>
        <v>#DIV/0!</v>
      </c>
      <c r="G42" s="142" t="e">
        <f>AVERAGE(G38:G41)</f>
        <v>#DIV/0!</v>
      </c>
    </row>
    <row r="43" spans="1:7" ht="26.25" customHeight="1" x14ac:dyDescent="0.4">
      <c r="A43" s="121" t="s">
        <v>71</v>
      </c>
      <c r="B43" s="122">
        <v>1</v>
      </c>
      <c r="C43" s="143" t="s">
        <v>72</v>
      </c>
      <c r="D43" s="144"/>
      <c r="E43" s="145"/>
      <c r="F43" s="144"/>
      <c r="G43" s="98"/>
    </row>
    <row r="44" spans="1:7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0</v>
      </c>
      <c r="E44" s="148"/>
      <c r="F44" s="147">
        <f>F43*$B$34</f>
        <v>0</v>
      </c>
      <c r="G44" s="98"/>
    </row>
    <row r="45" spans="1:7" ht="19.5" customHeight="1" x14ac:dyDescent="0.3">
      <c r="A45" s="121" t="s">
        <v>75</v>
      </c>
      <c r="B45" s="149">
        <f>(B44/B43)*(B42/B41)*(B40/B39)*(B38/B37)*B36</f>
        <v>100</v>
      </c>
      <c r="C45" s="146" t="s">
        <v>76</v>
      </c>
      <c r="D45" s="150">
        <f>D44*$B$30/100</f>
        <v>0</v>
      </c>
      <c r="E45" s="151"/>
      <c r="F45" s="150">
        <f>F44*$B$30/100</f>
        <v>0</v>
      </c>
      <c r="G45" s="98"/>
    </row>
    <row r="46" spans="1:7" ht="19.5" customHeight="1" x14ac:dyDescent="0.3">
      <c r="A46" s="662" t="s">
        <v>77</v>
      </c>
      <c r="B46" s="663"/>
      <c r="C46" s="146" t="s">
        <v>78</v>
      </c>
      <c r="D46" s="147">
        <f>D45/$B$45</f>
        <v>0</v>
      </c>
      <c r="E46" s="151"/>
      <c r="F46" s="152">
        <f>F45/$B$45</f>
        <v>0</v>
      </c>
      <c r="G46" s="98"/>
    </row>
    <row r="47" spans="1:7" ht="27" customHeight="1" x14ac:dyDescent="0.4">
      <c r="A47" s="664"/>
      <c r="B47" s="665"/>
      <c r="C47" s="153" t="s">
        <v>79</v>
      </c>
      <c r="D47" s="154"/>
      <c r="E47" s="98"/>
      <c r="F47" s="155"/>
      <c r="G47" s="98"/>
    </row>
    <row r="48" spans="1:7" ht="18.75" customHeight="1" x14ac:dyDescent="0.3">
      <c r="A48" s="98"/>
      <c r="B48" s="98"/>
      <c r="C48" s="156" t="s">
        <v>80</v>
      </c>
      <c r="D48" s="150">
        <f>D47*$B$45</f>
        <v>0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81</v>
      </c>
      <c r="D49" s="158">
        <f>D48/B34</f>
        <v>0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82</v>
      </c>
      <c r="D50" s="159" t="e">
        <f>AVERAGE(E38:E41,G38:G41)</f>
        <v>#DIV/0!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83</v>
      </c>
      <c r="D51" s="161" t="e">
        <f>STDEV(E38:E41,G38:G41)/D50</f>
        <v>#DIV/0!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0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84</v>
      </c>
      <c r="C54" s="98"/>
      <c r="D54" s="98"/>
      <c r="E54" s="98"/>
      <c r="F54" s="98"/>
      <c r="G54" s="98"/>
    </row>
    <row r="55" spans="1:7" ht="18.75" customHeight="1" x14ac:dyDescent="0.3">
      <c r="A55" s="98" t="s">
        <v>85</v>
      </c>
      <c r="B55" s="165" t="str">
        <f>B21</f>
        <v>Contains Fluralaner 112.5mg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86</v>
      </c>
      <c r="B56" s="167">
        <v>10</v>
      </c>
      <c r="C56" s="98" t="str">
        <f>B20</f>
        <v>Fluralaner</v>
      </c>
      <c r="D56" s="98"/>
      <c r="E56" s="98"/>
      <c r="F56" s="98"/>
      <c r="G56" s="98"/>
    </row>
    <row r="57" spans="1:7" ht="17.25" customHeight="1" x14ac:dyDescent="0.3">
      <c r="A57" s="168" t="s">
        <v>87</v>
      </c>
      <c r="B57" s="168">
        <f>Uniformity!C46</f>
        <v>836.82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88</v>
      </c>
      <c r="B58" s="120">
        <v>1</v>
      </c>
      <c r="C58" s="170" t="s">
        <v>89</v>
      </c>
      <c r="D58" s="171" t="s">
        <v>90</v>
      </c>
      <c r="E58" s="172" t="s">
        <v>91</v>
      </c>
      <c r="F58" s="173" t="s">
        <v>92</v>
      </c>
      <c r="G58" s="174" t="s">
        <v>93</v>
      </c>
    </row>
    <row r="59" spans="1:7" ht="26.25" customHeight="1" x14ac:dyDescent="0.4">
      <c r="A59" s="121" t="s">
        <v>61</v>
      </c>
      <c r="B59" s="122">
        <v>1</v>
      </c>
      <c r="C59" s="175">
        <v>1</v>
      </c>
      <c r="D59" s="176"/>
      <c r="E59" s="177" t="str">
        <f t="shared" ref="E59:E68" si="0">IF(ISBLANK(D59),"-",D59/$D$50*$D$47*$B$67)</f>
        <v>-</v>
      </c>
      <c r="F59" s="178" t="str">
        <f t="shared" ref="F59:F68" si="1">IF(ISBLANK(D59),"-",E59/$E$70*100)</f>
        <v>-</v>
      </c>
      <c r="G59" s="179" t="str">
        <f t="shared" ref="G59:G68" si="2">IF(ISBLANK(D59),"-",E59/$B$56*100)</f>
        <v>-</v>
      </c>
    </row>
    <row r="60" spans="1:7" ht="26.25" customHeight="1" x14ac:dyDescent="0.4">
      <c r="A60" s="121" t="s">
        <v>65</v>
      </c>
      <c r="B60" s="122">
        <v>1</v>
      </c>
      <c r="C60" s="180">
        <v>2</v>
      </c>
      <c r="D60" s="181"/>
      <c r="E60" s="182" t="str">
        <f t="shared" si="0"/>
        <v>-</v>
      </c>
      <c r="F60" s="183" t="str">
        <f t="shared" si="1"/>
        <v>-</v>
      </c>
      <c r="G60" s="184" t="str">
        <f t="shared" si="2"/>
        <v>-</v>
      </c>
    </row>
    <row r="61" spans="1:7" ht="26.25" customHeight="1" x14ac:dyDescent="0.4">
      <c r="A61" s="121" t="s">
        <v>66</v>
      </c>
      <c r="B61" s="122">
        <v>1</v>
      </c>
      <c r="C61" s="180">
        <v>3</v>
      </c>
      <c r="D61" s="181"/>
      <c r="E61" s="182" t="str">
        <f t="shared" si="0"/>
        <v>-</v>
      </c>
      <c r="F61" s="183" t="str">
        <f t="shared" si="1"/>
        <v>-</v>
      </c>
      <c r="G61" s="184" t="str">
        <f t="shared" si="2"/>
        <v>-</v>
      </c>
    </row>
    <row r="62" spans="1:7" ht="26.25" customHeight="1" x14ac:dyDescent="0.4">
      <c r="A62" s="121" t="s">
        <v>67</v>
      </c>
      <c r="B62" s="122">
        <v>1</v>
      </c>
      <c r="C62" s="180">
        <v>4</v>
      </c>
      <c r="D62" s="181"/>
      <c r="E62" s="182" t="str">
        <f t="shared" si="0"/>
        <v>-</v>
      </c>
      <c r="F62" s="183" t="str">
        <f t="shared" si="1"/>
        <v>-</v>
      </c>
      <c r="G62" s="184" t="str">
        <f t="shared" si="2"/>
        <v>-</v>
      </c>
    </row>
    <row r="63" spans="1:7" ht="26.25" customHeight="1" x14ac:dyDescent="0.4">
      <c r="A63" s="121" t="s">
        <v>68</v>
      </c>
      <c r="B63" s="122">
        <v>1</v>
      </c>
      <c r="C63" s="180">
        <v>5</v>
      </c>
      <c r="D63" s="181"/>
      <c r="E63" s="182" t="str">
        <f t="shared" si="0"/>
        <v>-</v>
      </c>
      <c r="F63" s="183" t="str">
        <f t="shared" si="1"/>
        <v>-</v>
      </c>
      <c r="G63" s="184" t="str">
        <f t="shared" si="2"/>
        <v>-</v>
      </c>
    </row>
    <row r="64" spans="1:7" ht="26.25" customHeight="1" x14ac:dyDescent="0.4">
      <c r="A64" s="121" t="s">
        <v>69</v>
      </c>
      <c r="B64" s="122">
        <v>1</v>
      </c>
      <c r="C64" s="180">
        <v>6</v>
      </c>
      <c r="D64" s="181"/>
      <c r="E64" s="182" t="str">
        <f t="shared" si="0"/>
        <v>-</v>
      </c>
      <c r="F64" s="183" t="str">
        <f t="shared" si="1"/>
        <v>-</v>
      </c>
      <c r="G64" s="184" t="str">
        <f t="shared" si="2"/>
        <v>-</v>
      </c>
    </row>
    <row r="65" spans="1:7" ht="26.25" customHeight="1" x14ac:dyDescent="0.4">
      <c r="A65" s="121" t="s">
        <v>71</v>
      </c>
      <c r="B65" s="122">
        <v>1</v>
      </c>
      <c r="C65" s="180">
        <v>7</v>
      </c>
      <c r="D65" s="181"/>
      <c r="E65" s="182" t="str">
        <f t="shared" si="0"/>
        <v>-</v>
      </c>
      <c r="F65" s="183" t="str">
        <f t="shared" si="1"/>
        <v>-</v>
      </c>
      <c r="G65" s="184" t="str">
        <f t="shared" si="2"/>
        <v>-</v>
      </c>
    </row>
    <row r="66" spans="1:7" ht="26.25" customHeight="1" x14ac:dyDescent="0.4">
      <c r="A66" s="121" t="s">
        <v>73</v>
      </c>
      <c r="B66" s="122">
        <v>1</v>
      </c>
      <c r="C66" s="180">
        <v>8</v>
      </c>
      <c r="D66" s="181"/>
      <c r="E66" s="182" t="str">
        <f t="shared" si="0"/>
        <v>-</v>
      </c>
      <c r="F66" s="183" t="str">
        <f t="shared" si="1"/>
        <v>-</v>
      </c>
      <c r="G66" s="184" t="str">
        <f t="shared" si="2"/>
        <v>-</v>
      </c>
    </row>
    <row r="67" spans="1:7" ht="27" customHeight="1" x14ac:dyDescent="0.4">
      <c r="A67" s="121" t="s">
        <v>75</v>
      </c>
      <c r="B67" s="149">
        <f>(B66/B65)*(B64/B63)*(B62/B61)*(B60/B59)*B58</f>
        <v>1</v>
      </c>
      <c r="C67" s="180">
        <v>9</v>
      </c>
      <c r="D67" s="181"/>
      <c r="E67" s="182" t="str">
        <f t="shared" si="0"/>
        <v>-</v>
      </c>
      <c r="F67" s="183" t="str">
        <f t="shared" si="1"/>
        <v>-</v>
      </c>
      <c r="G67" s="184" t="str">
        <f t="shared" si="2"/>
        <v>-</v>
      </c>
    </row>
    <row r="68" spans="1:7" ht="27" customHeight="1" x14ac:dyDescent="0.4">
      <c r="A68" s="662" t="s">
        <v>77</v>
      </c>
      <c r="B68" s="667"/>
      <c r="C68" s="185">
        <v>10</v>
      </c>
      <c r="D68" s="186"/>
      <c r="E68" s="187" t="str">
        <f t="shared" si="0"/>
        <v>-</v>
      </c>
      <c r="F68" s="188" t="str">
        <f t="shared" si="1"/>
        <v>-</v>
      </c>
      <c r="G68" s="189" t="str">
        <f t="shared" si="2"/>
        <v>-</v>
      </c>
    </row>
    <row r="69" spans="1:7" ht="19.5" customHeight="1" x14ac:dyDescent="0.3">
      <c r="A69" s="664"/>
      <c r="B69" s="668"/>
      <c r="C69" s="180"/>
      <c r="D69" s="151"/>
      <c r="E69" s="190"/>
      <c r="F69" s="169"/>
      <c r="G69" s="191"/>
    </row>
    <row r="70" spans="1:7" ht="26.25" customHeight="1" x14ac:dyDescent="0.4">
      <c r="A70" s="169"/>
      <c r="B70" s="169"/>
      <c r="C70" s="192" t="s">
        <v>94</v>
      </c>
      <c r="D70" s="193"/>
      <c r="E70" s="194" t="e">
        <f>AVERAGE(E59:E68)</f>
        <v>#DIV/0!</v>
      </c>
      <c r="F70" s="194" t="e">
        <f>AVERAGE(F59:F68)</f>
        <v>#DIV/0!</v>
      </c>
      <c r="G70" s="195" t="e">
        <f>AVERAGE(G59:G68)</f>
        <v>#DIV/0!</v>
      </c>
    </row>
    <row r="71" spans="1:7" ht="26.25" customHeight="1" x14ac:dyDescent="0.4">
      <c r="A71" s="169"/>
      <c r="B71" s="169"/>
      <c r="C71" s="192"/>
      <c r="D71" s="193"/>
      <c r="E71" s="196" t="e">
        <f>STDEV(E59:E68)/E70</f>
        <v>#DIV/0!</v>
      </c>
      <c r="F71" s="196" t="e">
        <f>STDEV(F59:F68)/F70</f>
        <v>#DIV/0!</v>
      </c>
      <c r="G71" s="197" t="e">
        <f>STDEV(G59:G68)/G70</f>
        <v>#DIV/0!</v>
      </c>
    </row>
    <row r="72" spans="1:7" ht="27" customHeight="1" x14ac:dyDescent="0.4">
      <c r="A72" s="169"/>
      <c r="B72" s="169"/>
      <c r="C72" s="198"/>
      <c r="D72" s="199"/>
      <c r="E72" s="200">
        <f>COUNT(E59:E68)</f>
        <v>0</v>
      </c>
      <c r="F72" s="200">
        <f>COUNT(F59:F68)</f>
        <v>0</v>
      </c>
      <c r="G72" s="201">
        <f>COUNT(G59:G68)</f>
        <v>0</v>
      </c>
    </row>
    <row r="73" spans="1:7" ht="18.75" customHeight="1" x14ac:dyDescent="0.3">
      <c r="A73" s="169"/>
      <c r="B73" s="202"/>
      <c r="C73" s="202"/>
      <c r="D73" s="148"/>
      <c r="E73" s="193"/>
      <c r="F73" s="145"/>
      <c r="G73" s="203"/>
    </row>
    <row r="74" spans="1:7" ht="18.75" customHeight="1" x14ac:dyDescent="0.3">
      <c r="A74" s="108" t="s">
        <v>95</v>
      </c>
      <c r="B74" s="204" t="s">
        <v>96</v>
      </c>
      <c r="C74" s="666" t="str">
        <f>B20</f>
        <v>Fluralaner</v>
      </c>
      <c r="D74" s="666"/>
      <c r="E74" s="205" t="s">
        <v>97</v>
      </c>
      <c r="F74" s="205"/>
      <c r="G74" s="206" t="e">
        <f>G70</f>
        <v>#DIV/0!</v>
      </c>
    </row>
    <row r="75" spans="1:7" ht="18.75" customHeight="1" x14ac:dyDescent="0.3">
      <c r="A75" s="108"/>
      <c r="B75" s="204"/>
      <c r="C75" s="207"/>
      <c r="D75" s="207"/>
      <c r="E75" s="205"/>
      <c r="F75" s="205"/>
      <c r="G75" s="208"/>
    </row>
    <row r="76" spans="1:7" ht="18.75" customHeight="1" x14ac:dyDescent="0.3">
      <c r="A76" s="99" t="s">
        <v>1</v>
      </c>
      <c r="B76" s="209" t="s">
        <v>98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669" t="s">
        <v>99</v>
      </c>
      <c r="C78" s="670"/>
      <c r="D78" s="98"/>
      <c r="E78" s="169"/>
      <c r="F78" s="169"/>
      <c r="G78" s="169"/>
    </row>
    <row r="79" spans="1:7" ht="18.75" customHeight="1" x14ac:dyDescent="0.3">
      <c r="A79" s="169"/>
      <c r="B79" s="210" t="s">
        <v>43</v>
      </c>
      <c r="C79" s="211" t="e">
        <f>G70</f>
        <v>#DIV/0!</v>
      </c>
      <c r="D79" s="98"/>
      <c r="E79" s="169"/>
      <c r="F79" s="169"/>
      <c r="G79" s="169"/>
    </row>
    <row r="80" spans="1:7" ht="26.25" customHeight="1" x14ac:dyDescent="0.4">
      <c r="A80" s="169"/>
      <c r="B80" s="210" t="s">
        <v>100</v>
      </c>
      <c r="C80" s="212">
        <v>2.4</v>
      </c>
      <c r="D80" s="98"/>
      <c r="E80" s="169"/>
      <c r="F80" s="169"/>
      <c r="G80" s="169"/>
    </row>
    <row r="81" spans="1:7" ht="18.75" customHeight="1" x14ac:dyDescent="0.3">
      <c r="A81" s="169"/>
      <c r="B81" s="210" t="s">
        <v>101</v>
      </c>
      <c r="C81" s="211" t="e">
        <f>STDEV(G59:G68)</f>
        <v>#DIV/0!</v>
      </c>
      <c r="D81" s="98"/>
      <c r="E81" s="169"/>
      <c r="F81" s="169"/>
      <c r="G81" s="169"/>
    </row>
    <row r="82" spans="1:7" ht="18.75" customHeight="1" x14ac:dyDescent="0.3">
      <c r="A82" s="169"/>
      <c r="B82" s="210" t="s">
        <v>102</v>
      </c>
      <c r="C82" s="211" t="e">
        <f>IF(OR(G70&lt;98.5,G70&gt;101.5),(IF(98.5&gt;G70,98.5,101.5)),C79)</f>
        <v>#DIV/0!</v>
      </c>
      <c r="D82" s="98"/>
      <c r="E82" s="169"/>
      <c r="F82" s="169"/>
      <c r="G82" s="169"/>
    </row>
    <row r="83" spans="1:7" ht="18.75" customHeight="1" x14ac:dyDescent="0.3">
      <c r="A83" s="169"/>
      <c r="B83" s="210" t="s">
        <v>103</v>
      </c>
      <c r="C83" s="213" t="e">
        <f>ABS(C82-C79)+(C80*C81)</f>
        <v>#DIV/0!</v>
      </c>
      <c r="D83" s="98"/>
      <c r="E83" s="169"/>
      <c r="F83" s="169"/>
      <c r="G83" s="169"/>
    </row>
    <row r="84" spans="1:7" ht="18.75" customHeight="1" x14ac:dyDescent="0.3">
      <c r="A84" s="166"/>
      <c r="B84" s="214"/>
      <c r="C84" s="98"/>
      <c r="D84" s="98"/>
      <c r="E84" s="98"/>
      <c r="F84" s="98"/>
      <c r="G84" s="98"/>
    </row>
    <row r="85" spans="1:7" ht="18.75" customHeight="1" x14ac:dyDescent="0.3">
      <c r="A85" s="107" t="s">
        <v>104</v>
      </c>
      <c r="B85" s="107" t="s">
        <v>105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671"/>
      <c r="C87" s="671"/>
      <c r="D87" s="98"/>
      <c r="E87" s="98"/>
      <c r="F87" s="98"/>
      <c r="G87" s="98"/>
    </row>
    <row r="88" spans="1:7" ht="26.25" customHeight="1" x14ac:dyDescent="0.4">
      <c r="A88" s="109" t="s">
        <v>48</v>
      </c>
      <c r="B88" s="672"/>
      <c r="C88" s="672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f>B32</f>
        <v>1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673" t="s">
        <v>106</v>
      </c>
      <c r="D90" s="674"/>
      <c r="E90" s="674"/>
      <c r="F90" s="674"/>
      <c r="G90" s="675"/>
    </row>
    <row r="91" spans="1:7" ht="18.75" customHeight="1" x14ac:dyDescent="0.3">
      <c r="A91" s="109" t="s">
        <v>51</v>
      </c>
      <c r="B91" s="113">
        <f>B89-B90</f>
        <v>1</v>
      </c>
      <c r="C91" s="215"/>
      <c r="D91" s="215"/>
      <c r="E91" s="215"/>
      <c r="F91" s="215"/>
      <c r="G91" s="216"/>
    </row>
    <row r="92" spans="1:7" ht="19.5" customHeight="1" x14ac:dyDescent="0.3">
      <c r="A92" s="109"/>
      <c r="B92" s="113"/>
      <c r="C92" s="215"/>
      <c r="D92" s="215"/>
      <c r="E92" s="215"/>
      <c r="F92" s="215"/>
      <c r="G92" s="216"/>
    </row>
    <row r="93" spans="1:7" ht="27" customHeight="1" x14ac:dyDescent="0.4">
      <c r="A93" s="109" t="s">
        <v>52</v>
      </c>
      <c r="B93" s="115">
        <v>1</v>
      </c>
      <c r="C93" s="658" t="s">
        <v>107</v>
      </c>
      <c r="D93" s="659"/>
      <c r="E93" s="659"/>
      <c r="F93" s="659"/>
      <c r="G93" s="659"/>
    </row>
    <row r="94" spans="1:7" ht="27" customHeight="1" x14ac:dyDescent="0.4">
      <c r="A94" s="109" t="s">
        <v>54</v>
      </c>
      <c r="B94" s="115">
        <v>1</v>
      </c>
      <c r="C94" s="658" t="s">
        <v>108</v>
      </c>
      <c r="D94" s="659"/>
      <c r="E94" s="659"/>
      <c r="F94" s="659"/>
      <c r="G94" s="659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58</v>
      </c>
      <c r="B98" s="217">
        <v>1</v>
      </c>
      <c r="C98" s="98"/>
      <c r="D98" s="218" t="s">
        <v>59</v>
      </c>
      <c r="E98" s="219"/>
      <c r="F98" s="660" t="s">
        <v>60</v>
      </c>
      <c r="G98" s="661"/>
    </row>
    <row r="99" spans="1:7" ht="26.25" customHeight="1" x14ac:dyDescent="0.4">
      <c r="A99" s="121" t="s">
        <v>61</v>
      </c>
      <c r="B99" s="220">
        <v>1</v>
      </c>
      <c r="C99" s="123" t="s">
        <v>62</v>
      </c>
      <c r="D99" s="124" t="s">
        <v>63</v>
      </c>
      <c r="E99" s="125" t="s">
        <v>64</v>
      </c>
      <c r="F99" s="124" t="s">
        <v>63</v>
      </c>
      <c r="G99" s="126" t="s">
        <v>64</v>
      </c>
    </row>
    <row r="100" spans="1:7" ht="26.25" customHeight="1" x14ac:dyDescent="0.4">
      <c r="A100" s="121" t="s">
        <v>65</v>
      </c>
      <c r="B100" s="220">
        <v>1</v>
      </c>
      <c r="C100" s="127">
        <v>1</v>
      </c>
      <c r="D100" s="128"/>
      <c r="E100" s="221" t="str">
        <f>IF(ISBLANK(D100),"-",$D$110/$D$107*D100)</f>
        <v>-</v>
      </c>
      <c r="F100" s="222"/>
      <c r="G100" s="130" t="str">
        <f>IF(ISBLANK(F100),"-",$D$110/$F$107*F100)</f>
        <v>-</v>
      </c>
    </row>
    <row r="101" spans="1:7" ht="26.25" customHeight="1" x14ac:dyDescent="0.4">
      <c r="A101" s="121" t="s">
        <v>66</v>
      </c>
      <c r="B101" s="220">
        <v>1</v>
      </c>
      <c r="C101" s="131">
        <v>2</v>
      </c>
      <c r="D101" s="132"/>
      <c r="E101" s="223" t="str">
        <f>IF(ISBLANK(D101),"-",$D$110/$D$107*D101)</f>
        <v>-</v>
      </c>
      <c r="F101" s="110"/>
      <c r="G101" s="134" t="str">
        <f>IF(ISBLANK(F101),"-",$D$110/$F$107*F101)</f>
        <v>-</v>
      </c>
    </row>
    <row r="102" spans="1:7" ht="26.25" customHeight="1" x14ac:dyDescent="0.4">
      <c r="A102" s="121" t="s">
        <v>67</v>
      </c>
      <c r="B102" s="220">
        <v>1</v>
      </c>
      <c r="C102" s="131">
        <v>3</v>
      </c>
      <c r="D102" s="132"/>
      <c r="E102" s="223" t="str">
        <f>IF(ISBLANK(D102),"-",$D$110/$D$107*D102)</f>
        <v>-</v>
      </c>
      <c r="F102" s="224"/>
      <c r="G102" s="134" t="str">
        <f>IF(ISBLANK(F102),"-",$D$110/$F$107*F102)</f>
        <v>-</v>
      </c>
    </row>
    <row r="103" spans="1:7" ht="26.25" customHeight="1" x14ac:dyDescent="0.4">
      <c r="A103" s="121" t="s">
        <v>68</v>
      </c>
      <c r="B103" s="220">
        <v>1</v>
      </c>
      <c r="C103" s="135">
        <v>4</v>
      </c>
      <c r="D103" s="136"/>
      <c r="E103" s="225" t="str">
        <f>IF(ISBLANK(D103),"-",$D$110/$D$107*D103)</f>
        <v>-</v>
      </c>
      <c r="F103" s="226"/>
      <c r="G103" s="138" t="str">
        <f>IF(ISBLANK(F103),"-",$D$110/$F$107*F103)</f>
        <v>-</v>
      </c>
    </row>
    <row r="104" spans="1:7" ht="27" customHeight="1" x14ac:dyDescent="0.4">
      <c r="A104" s="121" t="s">
        <v>69</v>
      </c>
      <c r="B104" s="220">
        <v>1</v>
      </c>
      <c r="C104" s="139" t="s">
        <v>70</v>
      </c>
      <c r="D104" s="227" t="e">
        <f>AVERAGE(D100:D103)</f>
        <v>#DIV/0!</v>
      </c>
      <c r="E104" s="141" t="e">
        <f>AVERAGE(E100:E103)</f>
        <v>#DIV/0!</v>
      </c>
      <c r="F104" s="227" t="e">
        <f>AVERAGE(F100:F103)</f>
        <v>#DIV/0!</v>
      </c>
      <c r="G104" s="228" t="e">
        <f>AVERAGE(G100:G103)</f>
        <v>#DIV/0!</v>
      </c>
    </row>
    <row r="105" spans="1:7" ht="26.25" customHeight="1" x14ac:dyDescent="0.4">
      <c r="A105" s="121" t="s">
        <v>71</v>
      </c>
      <c r="B105" s="220">
        <v>1</v>
      </c>
      <c r="C105" s="143" t="s">
        <v>72</v>
      </c>
      <c r="D105" s="229"/>
      <c r="E105" s="145"/>
      <c r="F105" s="144"/>
      <c r="G105" s="98"/>
    </row>
    <row r="106" spans="1:7" ht="26.25" customHeight="1" x14ac:dyDescent="0.4">
      <c r="A106" s="121" t="s">
        <v>73</v>
      </c>
      <c r="B106" s="220">
        <v>1</v>
      </c>
      <c r="C106" s="146" t="s">
        <v>74</v>
      </c>
      <c r="D106" s="230">
        <f>D105*$B$96</f>
        <v>0</v>
      </c>
      <c r="E106" s="148"/>
      <c r="F106" s="147">
        <f>F105*$B$96</f>
        <v>0</v>
      </c>
      <c r="G106" s="98"/>
    </row>
    <row r="107" spans="1:7" ht="19.5" customHeight="1" x14ac:dyDescent="0.3">
      <c r="A107" s="121" t="s">
        <v>75</v>
      </c>
      <c r="B107" s="262">
        <f>(B106/B105)*(B104/B103)*(B102/B101)*(B100/B99)*B98</f>
        <v>1</v>
      </c>
      <c r="C107" s="146" t="s">
        <v>76</v>
      </c>
      <c r="D107" s="231">
        <f>D106*$B$91/100</f>
        <v>0</v>
      </c>
      <c r="E107" s="151"/>
      <c r="F107" s="150">
        <f>F106*$B$91/100</f>
        <v>0</v>
      </c>
      <c r="G107" s="98"/>
    </row>
    <row r="108" spans="1:7" ht="19.5" customHeight="1" x14ac:dyDescent="0.3">
      <c r="A108" s="662" t="s">
        <v>77</v>
      </c>
      <c r="B108" s="663"/>
      <c r="C108" s="146" t="s">
        <v>78</v>
      </c>
      <c r="D108" s="230">
        <f>D107/$B$107</f>
        <v>0</v>
      </c>
      <c r="E108" s="151"/>
      <c r="F108" s="152">
        <f>F107/$B$107</f>
        <v>0</v>
      </c>
      <c r="G108" s="232"/>
    </row>
    <row r="109" spans="1:7" ht="19.5" customHeight="1" x14ac:dyDescent="0.3">
      <c r="A109" s="664"/>
      <c r="B109" s="665"/>
      <c r="C109" s="280" t="s">
        <v>79</v>
      </c>
      <c r="D109" s="234">
        <f>$B$56/$B$125</f>
        <v>10</v>
      </c>
      <c r="E109" s="98"/>
      <c r="F109" s="155"/>
      <c r="G109" s="235"/>
    </row>
    <row r="110" spans="1:7" ht="18.75" customHeight="1" x14ac:dyDescent="0.3">
      <c r="A110" s="98"/>
      <c r="B110" s="98"/>
      <c r="C110" s="233" t="s">
        <v>80</v>
      </c>
      <c r="D110" s="230">
        <f>D109*$B$107</f>
        <v>10</v>
      </c>
      <c r="E110" s="98"/>
      <c r="F110" s="155"/>
      <c r="G110" s="232"/>
    </row>
    <row r="111" spans="1:7" ht="19.5" customHeight="1" x14ac:dyDescent="0.3">
      <c r="A111" s="98"/>
      <c r="B111" s="98"/>
      <c r="C111" s="236" t="s">
        <v>81</v>
      </c>
      <c r="D111" s="237">
        <f>D110/B96</f>
        <v>10</v>
      </c>
      <c r="E111" s="98"/>
      <c r="F111" s="160"/>
      <c r="G111" s="232"/>
    </row>
    <row r="112" spans="1:7" ht="18.75" customHeight="1" x14ac:dyDescent="0.3">
      <c r="A112" s="98"/>
      <c r="B112" s="98"/>
      <c r="C112" s="238" t="s">
        <v>82</v>
      </c>
      <c r="D112" s="239" t="e">
        <f>AVERAGE(E100:E103,G100:G103)</f>
        <v>#DIV/0!</v>
      </c>
      <c r="E112" s="98"/>
      <c r="F112" s="160"/>
      <c r="G112" s="240"/>
    </row>
    <row r="113" spans="1:7" ht="18.75" customHeight="1" x14ac:dyDescent="0.3">
      <c r="A113" s="98"/>
      <c r="B113" s="98"/>
      <c r="C113" s="241" t="s">
        <v>83</v>
      </c>
      <c r="D113" s="242" t="e">
        <f>STDEV(E100:E103,G100:G103)/D112</f>
        <v>#DIV/0!</v>
      </c>
      <c r="E113" s="98"/>
      <c r="F113" s="160"/>
      <c r="G113" s="232"/>
    </row>
    <row r="114" spans="1:7" ht="19.5" customHeight="1" x14ac:dyDescent="0.3">
      <c r="A114" s="98"/>
      <c r="B114" s="98"/>
      <c r="C114" s="243" t="s">
        <v>20</v>
      </c>
      <c r="D114" s="244">
        <f>COUNT(E100:E103,G100:G103)</f>
        <v>0</v>
      </c>
      <c r="E114" s="98"/>
      <c r="F114" s="160"/>
      <c r="G114" s="232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109</v>
      </c>
      <c r="B116" s="217">
        <v>1</v>
      </c>
      <c r="C116" s="245" t="s">
        <v>110</v>
      </c>
      <c r="D116" s="246" t="s">
        <v>63</v>
      </c>
      <c r="E116" s="247" t="s">
        <v>111</v>
      </c>
      <c r="F116" s="248" t="s">
        <v>112</v>
      </c>
      <c r="G116" s="98"/>
    </row>
    <row r="117" spans="1:7" ht="26.25" customHeight="1" x14ac:dyDescent="0.4">
      <c r="A117" s="121" t="s">
        <v>113</v>
      </c>
      <c r="B117" s="220">
        <v>1</v>
      </c>
      <c r="C117" s="180">
        <v>1</v>
      </c>
      <c r="D117" s="249"/>
      <c r="E117" s="250" t="str">
        <f t="shared" ref="E117:E122" si="3">IF(ISBLANK(D117),"-",D117/$D$112*$D$109*$B$125)</f>
        <v>-</v>
      </c>
      <c r="F117" s="251" t="str">
        <f t="shared" ref="F117:F122" si="4">IF(ISBLANK(D117), "-", E117/$B$56)</f>
        <v>-</v>
      </c>
      <c r="G117" s="98"/>
    </row>
    <row r="118" spans="1:7" ht="26.25" customHeight="1" x14ac:dyDescent="0.4">
      <c r="A118" s="121" t="s">
        <v>114</v>
      </c>
      <c r="B118" s="220">
        <v>1</v>
      </c>
      <c r="C118" s="180">
        <v>2</v>
      </c>
      <c r="D118" s="249"/>
      <c r="E118" s="252" t="str">
        <f t="shared" si="3"/>
        <v>-</v>
      </c>
      <c r="F118" s="253" t="str">
        <f t="shared" si="4"/>
        <v>-</v>
      </c>
      <c r="G118" s="98"/>
    </row>
    <row r="119" spans="1:7" ht="26.25" customHeight="1" x14ac:dyDescent="0.4">
      <c r="A119" s="121" t="s">
        <v>115</v>
      </c>
      <c r="B119" s="220">
        <v>1</v>
      </c>
      <c r="C119" s="180">
        <v>3</v>
      </c>
      <c r="D119" s="249"/>
      <c r="E119" s="252" t="str">
        <f t="shared" si="3"/>
        <v>-</v>
      </c>
      <c r="F119" s="253" t="str">
        <f t="shared" si="4"/>
        <v>-</v>
      </c>
      <c r="G119" s="98"/>
    </row>
    <row r="120" spans="1:7" ht="26.25" customHeight="1" x14ac:dyDescent="0.4">
      <c r="A120" s="121" t="s">
        <v>116</v>
      </c>
      <c r="B120" s="220">
        <v>1</v>
      </c>
      <c r="C120" s="180">
        <v>4</v>
      </c>
      <c r="D120" s="249"/>
      <c r="E120" s="252" t="str">
        <f t="shared" si="3"/>
        <v>-</v>
      </c>
      <c r="F120" s="253" t="str">
        <f t="shared" si="4"/>
        <v>-</v>
      </c>
      <c r="G120" s="98"/>
    </row>
    <row r="121" spans="1:7" ht="26.25" customHeight="1" x14ac:dyDescent="0.4">
      <c r="A121" s="121" t="s">
        <v>117</v>
      </c>
      <c r="B121" s="220">
        <v>1</v>
      </c>
      <c r="C121" s="180">
        <v>5</v>
      </c>
      <c r="D121" s="249"/>
      <c r="E121" s="252" t="str">
        <f t="shared" si="3"/>
        <v>-</v>
      </c>
      <c r="F121" s="253" t="str">
        <f t="shared" si="4"/>
        <v>-</v>
      </c>
      <c r="G121" s="98"/>
    </row>
    <row r="122" spans="1:7" ht="26.25" customHeight="1" x14ac:dyDescent="0.4">
      <c r="A122" s="121" t="s">
        <v>118</v>
      </c>
      <c r="B122" s="220">
        <v>1</v>
      </c>
      <c r="C122" s="254">
        <v>6</v>
      </c>
      <c r="D122" s="255"/>
      <c r="E122" s="256" t="str">
        <f t="shared" si="3"/>
        <v>-</v>
      </c>
      <c r="F122" s="257" t="str">
        <f t="shared" si="4"/>
        <v>-</v>
      </c>
      <c r="G122" s="98"/>
    </row>
    <row r="123" spans="1:7" ht="26.25" customHeight="1" x14ac:dyDescent="0.4">
      <c r="A123" s="121" t="s">
        <v>119</v>
      </c>
      <c r="B123" s="220">
        <v>1</v>
      </c>
      <c r="C123" s="180"/>
      <c r="D123" s="258"/>
      <c r="E123" s="202"/>
      <c r="F123" s="184"/>
      <c r="G123" s="98"/>
    </row>
    <row r="124" spans="1:7" ht="26.25" customHeight="1" x14ac:dyDescent="0.4">
      <c r="A124" s="121" t="s">
        <v>120</v>
      </c>
      <c r="B124" s="220">
        <v>1</v>
      </c>
      <c r="C124" s="180"/>
      <c r="D124" s="259"/>
      <c r="E124" s="260" t="s">
        <v>70</v>
      </c>
      <c r="F124" s="261" t="e">
        <f>AVERAGE(F117:F122)</f>
        <v>#DIV/0!</v>
      </c>
      <c r="G124" s="98"/>
    </row>
    <row r="125" spans="1:7" ht="27" customHeight="1" x14ac:dyDescent="0.4">
      <c r="A125" s="121" t="s">
        <v>121</v>
      </c>
      <c r="B125" s="262">
        <f>(B124/B123)*(B122/B121)*(B120/B119)*(B118/B117)*B116</f>
        <v>1</v>
      </c>
      <c r="C125" s="263"/>
      <c r="D125" s="264"/>
      <c r="E125" s="157" t="s">
        <v>83</v>
      </c>
      <c r="F125" s="197" t="e">
        <f>STDEV(F117:F122)/F124</f>
        <v>#DIV/0!</v>
      </c>
      <c r="G125" s="98"/>
    </row>
    <row r="126" spans="1:7" ht="27" customHeight="1" x14ac:dyDescent="0.4">
      <c r="A126" s="662" t="s">
        <v>77</v>
      </c>
      <c r="B126" s="663"/>
      <c r="C126" s="265"/>
      <c r="D126" s="266"/>
      <c r="E126" s="267" t="s">
        <v>20</v>
      </c>
      <c r="F126" s="268">
        <f>COUNT(F117:F122)</f>
        <v>0</v>
      </c>
      <c r="G126" s="98"/>
    </row>
    <row r="127" spans="1:7" ht="19.5" customHeight="1" x14ac:dyDescent="0.3">
      <c r="A127" s="664"/>
      <c r="B127" s="665"/>
      <c r="C127" s="202"/>
      <c r="D127" s="202"/>
      <c r="E127" s="202"/>
      <c r="F127" s="258"/>
      <c r="G127" s="202"/>
    </row>
    <row r="128" spans="1:7" ht="18.75" customHeight="1" x14ac:dyDescent="0.3">
      <c r="A128" s="117"/>
      <c r="B128" s="117"/>
      <c r="C128" s="202"/>
      <c r="D128" s="202"/>
      <c r="E128" s="202"/>
      <c r="F128" s="258"/>
      <c r="G128" s="202"/>
    </row>
    <row r="129" spans="1:7" ht="18.75" customHeight="1" x14ac:dyDescent="0.3">
      <c r="A129" s="108" t="s">
        <v>95</v>
      </c>
      <c r="B129" s="204" t="s">
        <v>122</v>
      </c>
      <c r="C129" s="666" t="str">
        <f>B20</f>
        <v>Fluralaner</v>
      </c>
      <c r="D129" s="666"/>
      <c r="E129" s="205" t="s">
        <v>123</v>
      </c>
      <c r="F129" s="205"/>
      <c r="G129" s="208" t="e">
        <f>F124</f>
        <v>#DIV/0!</v>
      </c>
    </row>
    <row r="130" spans="1:7" ht="19.5" customHeight="1" x14ac:dyDescent="0.3">
      <c r="A130" s="269"/>
      <c r="B130" s="269"/>
      <c r="C130" s="270"/>
      <c r="D130" s="270"/>
      <c r="E130" s="270"/>
      <c r="F130" s="270"/>
      <c r="G130" s="270"/>
    </row>
    <row r="131" spans="1:7" ht="18.75" customHeight="1" x14ac:dyDescent="0.3">
      <c r="A131" s="98"/>
      <c r="B131" s="657" t="s">
        <v>26</v>
      </c>
      <c r="C131" s="657"/>
      <c r="D131" s="98"/>
      <c r="E131" s="271" t="s">
        <v>27</v>
      </c>
      <c r="F131" s="272"/>
      <c r="G131" s="279" t="s">
        <v>28</v>
      </c>
    </row>
    <row r="132" spans="1:7" ht="60" customHeight="1" x14ac:dyDescent="0.3">
      <c r="A132" s="273" t="s">
        <v>29</v>
      </c>
      <c r="B132" s="274"/>
      <c r="C132" s="274"/>
      <c r="D132" s="98"/>
      <c r="E132" s="274"/>
      <c r="F132" s="202"/>
      <c r="G132" s="275"/>
    </row>
    <row r="133" spans="1:7" ht="60" customHeight="1" x14ac:dyDescent="0.3">
      <c r="A133" s="273" t="s">
        <v>30</v>
      </c>
      <c r="B133" s="276"/>
      <c r="C133" s="276"/>
      <c r="D133" s="98"/>
      <c r="E133" s="276"/>
      <c r="F133" s="202"/>
      <c r="G133" s="277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10" priority="1" operator="greaterThan">
      <formula>0.02</formula>
    </cfRule>
  </conditionalFormatting>
  <conditionalFormatting sqref="C83">
    <cfRule type="cellIs" dxfId="9" priority="2" operator="greaterThan">
      <formula>15</formula>
    </cfRule>
  </conditionalFormatting>
  <conditionalFormatting sqref="D113">
    <cfRule type="cellIs" dxfId="8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Layout" topLeftCell="A82" zoomScale="55" zoomScaleNormal="75" zoomScalePageLayoutView="55" workbookViewId="0">
      <selection activeCell="E105" sqref="E10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655" t="s">
        <v>45</v>
      </c>
      <c r="B1" s="655"/>
      <c r="C1" s="655"/>
      <c r="D1" s="655"/>
      <c r="E1" s="655"/>
      <c r="F1" s="655"/>
      <c r="G1" s="655"/>
      <c r="H1" s="655"/>
    </row>
    <row r="2" spans="1:8" x14ac:dyDescent="0.25">
      <c r="A2" s="655"/>
      <c r="B2" s="655"/>
      <c r="C2" s="655"/>
      <c r="D2" s="655"/>
      <c r="E2" s="655"/>
      <c r="F2" s="655"/>
      <c r="G2" s="655"/>
      <c r="H2" s="655"/>
    </row>
    <row r="3" spans="1:8" x14ac:dyDescent="0.25">
      <c r="A3" s="655"/>
      <c r="B3" s="655"/>
      <c r="C3" s="655"/>
      <c r="D3" s="655"/>
      <c r="E3" s="655"/>
      <c r="F3" s="655"/>
      <c r="G3" s="655"/>
      <c r="H3" s="655"/>
    </row>
    <row r="4" spans="1:8" x14ac:dyDescent="0.25">
      <c r="A4" s="655"/>
      <c r="B4" s="655"/>
      <c r="C4" s="655"/>
      <c r="D4" s="655"/>
      <c r="E4" s="655"/>
      <c r="F4" s="655"/>
      <c r="G4" s="655"/>
      <c r="H4" s="655"/>
    </row>
    <row r="5" spans="1:8" x14ac:dyDescent="0.25">
      <c r="A5" s="655"/>
      <c r="B5" s="655"/>
      <c r="C5" s="655"/>
      <c r="D5" s="655"/>
      <c r="E5" s="655"/>
      <c r="F5" s="655"/>
      <c r="G5" s="655"/>
      <c r="H5" s="655"/>
    </row>
    <row r="6" spans="1:8" x14ac:dyDescent="0.25">
      <c r="A6" s="655"/>
      <c r="B6" s="655"/>
      <c r="C6" s="655"/>
      <c r="D6" s="655"/>
      <c r="E6" s="655"/>
      <c r="F6" s="655"/>
      <c r="G6" s="655"/>
      <c r="H6" s="655"/>
    </row>
    <row r="7" spans="1:8" x14ac:dyDescent="0.25">
      <c r="A7" s="655"/>
      <c r="B7" s="655"/>
      <c r="C7" s="655"/>
      <c r="D7" s="655"/>
      <c r="E7" s="655"/>
      <c r="F7" s="655"/>
      <c r="G7" s="655"/>
      <c r="H7" s="655"/>
    </row>
    <row r="8" spans="1:8" x14ac:dyDescent="0.25">
      <c r="A8" s="656" t="s">
        <v>46</v>
      </c>
      <c r="B8" s="656"/>
      <c r="C8" s="656"/>
      <c r="D8" s="656"/>
      <c r="E8" s="656"/>
      <c r="F8" s="656"/>
      <c r="G8" s="656"/>
      <c r="H8" s="656"/>
    </row>
    <row r="9" spans="1:8" x14ac:dyDescent="0.25">
      <c r="A9" s="656"/>
      <c r="B9" s="656"/>
      <c r="C9" s="656"/>
      <c r="D9" s="656"/>
      <c r="E9" s="656"/>
      <c r="F9" s="656"/>
      <c r="G9" s="656"/>
      <c r="H9" s="656"/>
    </row>
    <row r="10" spans="1:8" x14ac:dyDescent="0.25">
      <c r="A10" s="656"/>
      <c r="B10" s="656"/>
      <c r="C10" s="656"/>
      <c r="D10" s="656"/>
      <c r="E10" s="656"/>
      <c r="F10" s="656"/>
      <c r="G10" s="656"/>
      <c r="H10" s="656"/>
    </row>
    <row r="11" spans="1:8" x14ac:dyDescent="0.25">
      <c r="A11" s="656"/>
      <c r="B11" s="656"/>
      <c r="C11" s="656"/>
      <c r="D11" s="656"/>
      <c r="E11" s="656"/>
      <c r="F11" s="656"/>
      <c r="G11" s="656"/>
      <c r="H11" s="656"/>
    </row>
    <row r="12" spans="1:8" x14ac:dyDescent="0.25">
      <c r="A12" s="656"/>
      <c r="B12" s="656"/>
      <c r="C12" s="656"/>
      <c r="D12" s="656"/>
      <c r="E12" s="656"/>
      <c r="F12" s="656"/>
      <c r="G12" s="656"/>
      <c r="H12" s="656"/>
    </row>
    <row r="13" spans="1:8" x14ac:dyDescent="0.25">
      <c r="A13" s="656"/>
      <c r="B13" s="656"/>
      <c r="C13" s="656"/>
      <c r="D13" s="656"/>
      <c r="E13" s="656"/>
      <c r="F13" s="656"/>
      <c r="G13" s="656"/>
      <c r="H13" s="656"/>
    </row>
    <row r="14" spans="1:8" x14ac:dyDescent="0.25">
      <c r="A14" s="656"/>
      <c r="B14" s="656"/>
      <c r="C14" s="656"/>
      <c r="D14" s="656"/>
      <c r="E14" s="656"/>
      <c r="F14" s="656"/>
      <c r="G14" s="656"/>
      <c r="H14" s="656"/>
    </row>
    <row r="15" spans="1:8" ht="19.5" customHeight="1" x14ac:dyDescent="0.25"/>
    <row r="16" spans="1:8" ht="19.5" customHeight="1" x14ac:dyDescent="0.25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3" ht="18.75" x14ac:dyDescent="0.3">
      <c r="A17" s="281" t="s">
        <v>47</v>
      </c>
      <c r="B17" s="281"/>
    </row>
    <row r="18" spans="1:13" ht="18.75" x14ac:dyDescent="0.3">
      <c r="A18" s="283" t="s">
        <v>33</v>
      </c>
      <c r="B18" s="694"/>
      <c r="C18" s="694"/>
      <c r="D18" s="374"/>
      <c r="E18" s="374"/>
    </row>
    <row r="19" spans="1:13" ht="18.75" x14ac:dyDescent="0.3">
      <c r="A19" s="283" t="s">
        <v>34</v>
      </c>
      <c r="B19" s="375"/>
      <c r="C19" s="459">
        <v>15</v>
      </c>
    </row>
    <row r="20" spans="1:13" ht="18.75" x14ac:dyDescent="0.3">
      <c r="A20" s="283" t="s">
        <v>35</v>
      </c>
      <c r="B20" s="375"/>
    </row>
    <row r="21" spans="1:13" ht="18.75" x14ac:dyDescent="0.3">
      <c r="A21" s="283" t="s">
        <v>36</v>
      </c>
      <c r="B21" s="400"/>
      <c r="C21" s="400"/>
      <c r="D21" s="400"/>
      <c r="E21" s="400"/>
      <c r="F21" s="400"/>
      <c r="G21" s="400"/>
      <c r="H21" s="400"/>
    </row>
    <row r="22" spans="1:13" ht="18.75" x14ac:dyDescent="0.3">
      <c r="A22" s="283" t="s">
        <v>37</v>
      </c>
      <c r="B22" s="376"/>
    </row>
    <row r="23" spans="1:13" ht="18.75" x14ac:dyDescent="0.3">
      <c r="A23" s="283" t="s">
        <v>38</v>
      </c>
      <c r="B23" s="376"/>
    </row>
    <row r="24" spans="1:13" ht="18.75" x14ac:dyDescent="0.3">
      <c r="A24" s="283"/>
      <c r="B24" s="286"/>
    </row>
    <row r="25" spans="1:13" ht="18.75" x14ac:dyDescent="0.3">
      <c r="A25" s="287" t="s">
        <v>1</v>
      </c>
      <c r="B25" s="286"/>
    </row>
    <row r="26" spans="1:13" ht="26.25" customHeight="1" x14ac:dyDescent="0.4">
      <c r="A26" s="288" t="s">
        <v>4</v>
      </c>
      <c r="B26" s="671" t="s">
        <v>124</v>
      </c>
      <c r="C26" s="671"/>
    </row>
    <row r="27" spans="1:13" ht="26.25" customHeight="1" x14ac:dyDescent="0.4">
      <c r="A27" s="290" t="s">
        <v>48</v>
      </c>
      <c r="B27" s="429" t="s">
        <v>125</v>
      </c>
    </row>
    <row r="28" spans="1:13" ht="27" customHeight="1" x14ac:dyDescent="0.4">
      <c r="A28" s="290" t="s">
        <v>6</v>
      </c>
      <c r="B28" s="430">
        <v>85.3</v>
      </c>
    </row>
    <row r="29" spans="1:13" s="11" customFormat="1" ht="27" customHeight="1" x14ac:dyDescent="0.4">
      <c r="A29" s="290" t="s">
        <v>49</v>
      </c>
      <c r="B29" s="429">
        <v>0</v>
      </c>
      <c r="C29" s="673" t="s">
        <v>106</v>
      </c>
      <c r="D29" s="674"/>
      <c r="E29" s="674"/>
      <c r="F29" s="674"/>
      <c r="G29" s="675"/>
      <c r="I29" s="292"/>
      <c r="J29" s="292"/>
      <c r="K29" s="292"/>
    </row>
    <row r="30" spans="1:13" s="11" customFormat="1" ht="19.5" customHeight="1" x14ac:dyDescent="0.3">
      <c r="A30" s="290" t="s">
        <v>51</v>
      </c>
      <c r="B30" s="289">
        <f>B28-B29</f>
        <v>85.3</v>
      </c>
      <c r="C30" s="293"/>
      <c r="D30" s="293"/>
      <c r="E30" s="293"/>
      <c r="F30" s="293"/>
      <c r="G30" s="294"/>
      <c r="I30" s="292"/>
      <c r="J30" s="292"/>
      <c r="K30" s="292"/>
    </row>
    <row r="31" spans="1:13" s="11" customFormat="1" ht="27" customHeight="1" x14ac:dyDescent="0.4">
      <c r="A31" s="290" t="s">
        <v>52</v>
      </c>
      <c r="B31" s="431">
        <v>1</v>
      </c>
      <c r="C31" s="658" t="s">
        <v>53</v>
      </c>
      <c r="D31" s="659"/>
      <c r="E31" s="659"/>
      <c r="F31" s="659"/>
      <c r="G31" s="659"/>
      <c r="H31" s="676"/>
      <c r="I31" s="292"/>
      <c r="J31" s="292"/>
      <c r="K31" s="292"/>
    </row>
    <row r="32" spans="1:13" s="11" customFormat="1" ht="27" customHeight="1" x14ac:dyDescent="0.4">
      <c r="A32" s="290" t="s">
        <v>54</v>
      </c>
      <c r="B32" s="431">
        <v>1</v>
      </c>
      <c r="C32" s="658" t="s">
        <v>55</v>
      </c>
      <c r="D32" s="659"/>
      <c r="E32" s="659"/>
      <c r="F32" s="659"/>
      <c r="G32" s="659"/>
      <c r="H32" s="676"/>
      <c r="I32" s="292"/>
      <c r="J32" s="292"/>
      <c r="K32" s="296"/>
      <c r="L32" s="296"/>
      <c r="M32" s="297"/>
    </row>
    <row r="33" spans="1:13" s="11" customFormat="1" ht="17.25" customHeight="1" x14ac:dyDescent="0.3">
      <c r="A33" s="290"/>
      <c r="B33" s="295"/>
      <c r="C33" s="298"/>
      <c r="D33" s="298"/>
      <c r="E33" s="298"/>
      <c r="F33" s="298"/>
      <c r="G33" s="298"/>
      <c r="H33" s="298"/>
      <c r="I33" s="292"/>
      <c r="J33" s="292"/>
      <c r="K33" s="296"/>
      <c r="L33" s="296"/>
      <c r="M33" s="297"/>
    </row>
    <row r="34" spans="1:13" s="11" customFormat="1" ht="18.75" x14ac:dyDescent="0.3">
      <c r="A34" s="290" t="s">
        <v>56</v>
      </c>
      <c r="B34" s="299">
        <f>B31/B32</f>
        <v>1</v>
      </c>
      <c r="C34" s="282" t="s">
        <v>57</v>
      </c>
      <c r="D34" s="282"/>
      <c r="E34" s="282"/>
      <c r="F34" s="282"/>
      <c r="G34" s="282"/>
      <c r="I34" s="292"/>
      <c r="J34" s="292"/>
      <c r="K34" s="296"/>
      <c r="L34" s="296"/>
      <c r="M34" s="297"/>
    </row>
    <row r="35" spans="1:13" s="11" customFormat="1" ht="19.5" customHeight="1" x14ac:dyDescent="0.3">
      <c r="A35" s="290"/>
      <c r="B35" s="289"/>
      <c r="G35" s="282"/>
      <c r="I35" s="292"/>
      <c r="J35" s="292"/>
      <c r="K35" s="296"/>
      <c r="L35" s="296"/>
      <c r="M35" s="297"/>
    </row>
    <row r="36" spans="1:13" s="11" customFormat="1" ht="27" customHeight="1" x14ac:dyDescent="0.4">
      <c r="A36" s="300" t="s">
        <v>126</v>
      </c>
      <c r="B36" s="432">
        <v>50</v>
      </c>
      <c r="C36" s="282"/>
      <c r="D36" s="660" t="s">
        <v>59</v>
      </c>
      <c r="E36" s="677"/>
      <c r="F36" s="660" t="s">
        <v>60</v>
      </c>
      <c r="G36" s="661"/>
      <c r="I36" s="292"/>
      <c r="J36" s="292"/>
      <c r="K36" s="296"/>
      <c r="L36" s="296"/>
      <c r="M36" s="297"/>
    </row>
    <row r="37" spans="1:13" s="11" customFormat="1" ht="26.25" customHeight="1" x14ac:dyDescent="0.4">
      <c r="A37" s="301" t="s">
        <v>61</v>
      </c>
      <c r="B37" s="433">
        <v>1</v>
      </c>
      <c r="C37" s="303" t="s">
        <v>127</v>
      </c>
      <c r="D37" s="304" t="s">
        <v>63</v>
      </c>
      <c r="E37" s="361" t="s">
        <v>64</v>
      </c>
      <c r="F37" s="304" t="s">
        <v>63</v>
      </c>
      <c r="G37" s="305" t="s">
        <v>64</v>
      </c>
      <c r="I37" s="292"/>
      <c r="J37" s="292"/>
      <c r="K37" s="296"/>
      <c r="L37" s="296"/>
      <c r="M37" s="297"/>
    </row>
    <row r="38" spans="1:13" s="11" customFormat="1" ht="26.25" customHeight="1" x14ac:dyDescent="0.4">
      <c r="A38" s="301" t="s">
        <v>65</v>
      </c>
      <c r="B38" s="433">
        <v>1</v>
      </c>
      <c r="C38" s="306">
        <v>1</v>
      </c>
      <c r="D38" s="434">
        <v>204740636</v>
      </c>
      <c r="E38" s="377">
        <f>IF(ISBLANK(D38),"-",$D$48/$D$45*D38)</f>
        <v>222409370.14696312</v>
      </c>
      <c r="F38" s="434">
        <v>208454869</v>
      </c>
      <c r="G38" s="380">
        <f>IF(ISBLANK(F38),"-",$D$48/$F$45*F38)</f>
        <v>221920187.03671452</v>
      </c>
      <c r="I38" s="292"/>
      <c r="J38" s="292"/>
      <c r="K38" s="296"/>
      <c r="L38" s="296"/>
      <c r="M38" s="297"/>
    </row>
    <row r="39" spans="1:13" s="11" customFormat="1" ht="26.25" customHeight="1" x14ac:dyDescent="0.4">
      <c r="A39" s="301" t="s">
        <v>66</v>
      </c>
      <c r="B39" s="433">
        <v>1</v>
      </c>
      <c r="C39" s="302">
        <v>2</v>
      </c>
      <c r="D39" s="435">
        <v>204713624</v>
      </c>
      <c r="E39" s="378">
        <f>IF(ISBLANK(D39),"-",$D$48/$D$45*D39)</f>
        <v>222380027.06185904</v>
      </c>
      <c r="F39" s="435">
        <v>207357270</v>
      </c>
      <c r="G39" s="381">
        <f>IF(ISBLANK(F39),"-",$D$48/$F$45*F39)</f>
        <v>220751687.70379028</v>
      </c>
      <c r="I39" s="292"/>
      <c r="J39" s="292"/>
      <c r="K39" s="296"/>
      <c r="L39" s="296"/>
      <c r="M39" s="297"/>
    </row>
    <row r="40" spans="1:13" ht="26.25" customHeight="1" x14ac:dyDescent="0.4">
      <c r="A40" s="301" t="s">
        <v>67</v>
      </c>
      <c r="B40" s="433">
        <v>1</v>
      </c>
      <c r="C40" s="302">
        <v>3</v>
      </c>
      <c r="D40" s="435">
        <v>204746485</v>
      </c>
      <c r="E40" s="378">
        <f>IF(ISBLANK(D40),"-",$D$48/$D$45*D40)</f>
        <v>222415723.90472907</v>
      </c>
      <c r="F40" s="435">
        <v>208112760</v>
      </c>
      <c r="G40" s="381">
        <f>IF(ISBLANK(F40),"-",$D$48/$F$45*F40)</f>
        <v>221555979.2173858</v>
      </c>
      <c r="K40" s="296"/>
      <c r="L40" s="296"/>
      <c r="M40" s="308"/>
    </row>
    <row r="41" spans="1:13" ht="26.25" customHeight="1" x14ac:dyDescent="0.4">
      <c r="A41" s="301" t="s">
        <v>68</v>
      </c>
      <c r="B41" s="433">
        <v>1</v>
      </c>
      <c r="C41" s="309">
        <v>4</v>
      </c>
      <c r="D41" s="436"/>
      <c r="E41" s="379" t="str">
        <f>IF(ISBLANK(D41),"-",$D$48/$D$45*D41)</f>
        <v>-</v>
      </c>
      <c r="F41" s="436"/>
      <c r="G41" s="382" t="str">
        <f>IF(ISBLANK(F41),"-",$D$48/$F$45*F41)</f>
        <v>-</v>
      </c>
      <c r="K41" s="296"/>
      <c r="L41" s="296"/>
      <c r="M41" s="308"/>
    </row>
    <row r="42" spans="1:13" ht="27" customHeight="1" x14ac:dyDescent="0.4">
      <c r="A42" s="301" t="s">
        <v>69</v>
      </c>
      <c r="B42" s="433">
        <v>1</v>
      </c>
      <c r="C42" s="311" t="s">
        <v>70</v>
      </c>
      <c r="D42" s="411">
        <f>AVERAGE(D38:D41)</f>
        <v>204733581.66666666</v>
      </c>
      <c r="E42" s="336">
        <f>AVERAGE(E38:E41)</f>
        <v>222401707.03785038</v>
      </c>
      <c r="F42" s="312">
        <f>AVERAGE(F38:F41)</f>
        <v>207974966.33333334</v>
      </c>
      <c r="G42" s="313">
        <f>AVERAGE(G38:G41)</f>
        <v>221409284.65263021</v>
      </c>
      <c r="H42" s="397"/>
    </row>
    <row r="43" spans="1:13" ht="26.25" customHeight="1" x14ac:dyDescent="0.4">
      <c r="A43" s="301" t="s">
        <v>71</v>
      </c>
      <c r="B43" s="430">
        <v>1</v>
      </c>
      <c r="C43" s="412" t="s">
        <v>72</v>
      </c>
      <c r="D43" s="437">
        <v>26.98</v>
      </c>
      <c r="E43" s="308"/>
      <c r="F43" s="438">
        <v>27.53</v>
      </c>
      <c r="H43" s="397"/>
    </row>
    <row r="44" spans="1:13" ht="26.25" customHeight="1" x14ac:dyDescent="0.4">
      <c r="A44" s="301" t="s">
        <v>73</v>
      </c>
      <c r="B44" s="430">
        <v>1</v>
      </c>
      <c r="C44" s="413" t="s">
        <v>74</v>
      </c>
      <c r="D44" s="414">
        <f>D43*$B$34</f>
        <v>26.98</v>
      </c>
      <c r="E44" s="315"/>
      <c r="F44" s="314">
        <f>F43*$B$34</f>
        <v>27.53</v>
      </c>
      <c r="H44" s="397"/>
    </row>
    <row r="45" spans="1:13" ht="19.5" customHeight="1" x14ac:dyDescent="0.3">
      <c r="A45" s="301" t="s">
        <v>75</v>
      </c>
      <c r="B45" s="410">
        <f>(B44/B43)*(B42/B41)*(B40/B39)*(B38/B37)*B36</f>
        <v>50</v>
      </c>
      <c r="C45" s="413" t="s">
        <v>76</v>
      </c>
      <c r="D45" s="415">
        <f>D44*$B$30/100</f>
        <v>23.013939999999998</v>
      </c>
      <c r="E45" s="317"/>
      <c r="F45" s="316">
        <f>F44*$B$30/100</f>
        <v>23.483090000000001</v>
      </c>
      <c r="H45" s="397"/>
    </row>
    <row r="46" spans="1:13" ht="19.5" customHeight="1" x14ac:dyDescent="0.3">
      <c r="A46" s="662" t="s">
        <v>77</v>
      </c>
      <c r="B46" s="667"/>
      <c r="C46" s="413" t="s">
        <v>78</v>
      </c>
      <c r="D46" s="414">
        <f>D45/$B$45</f>
        <v>0.46027879999999999</v>
      </c>
      <c r="E46" s="317"/>
      <c r="F46" s="318">
        <f>F45/$B$45</f>
        <v>0.46966180000000002</v>
      </c>
      <c r="H46" s="397"/>
    </row>
    <row r="47" spans="1:13" ht="27" customHeight="1" x14ac:dyDescent="0.4">
      <c r="A47" s="664"/>
      <c r="B47" s="668"/>
      <c r="C47" s="413" t="s">
        <v>79</v>
      </c>
      <c r="D47" s="439">
        <v>0.5</v>
      </c>
      <c r="F47" s="320"/>
      <c r="H47" s="397"/>
    </row>
    <row r="48" spans="1:13" ht="18.75" x14ac:dyDescent="0.3">
      <c r="C48" s="413" t="s">
        <v>80</v>
      </c>
      <c r="D48" s="414">
        <f>D47*$B$45</f>
        <v>25</v>
      </c>
      <c r="F48" s="320"/>
      <c r="H48" s="397"/>
    </row>
    <row r="49" spans="1:11" ht="19.5" customHeight="1" x14ac:dyDescent="0.3">
      <c r="C49" s="416" t="s">
        <v>81</v>
      </c>
      <c r="D49" s="417">
        <f>D48/B34</f>
        <v>25</v>
      </c>
      <c r="F49" s="323"/>
      <c r="H49" s="397"/>
    </row>
    <row r="50" spans="1:11" ht="18.75" x14ac:dyDescent="0.3">
      <c r="C50" s="418" t="s">
        <v>82</v>
      </c>
      <c r="D50" s="419">
        <f>AVERAGE(E38:E41,G38:G41)</f>
        <v>221905495.84524027</v>
      </c>
      <c r="F50" s="323"/>
      <c r="H50" s="397"/>
    </row>
    <row r="51" spans="1:11" ht="18.75" x14ac:dyDescent="0.3">
      <c r="C51" s="319" t="s">
        <v>83</v>
      </c>
      <c r="D51" s="324">
        <f>STDEV(E38:E41,G38:G41)/D50</f>
        <v>2.9844993084180461E-3</v>
      </c>
      <c r="F51" s="323"/>
    </row>
    <row r="52" spans="1:11" ht="19.5" customHeight="1" x14ac:dyDescent="0.3">
      <c r="C52" s="321" t="s">
        <v>20</v>
      </c>
      <c r="D52" s="325">
        <f>COUNT(E38:E41,G38:G41)</f>
        <v>6</v>
      </c>
      <c r="F52" s="323"/>
    </row>
    <row r="54" spans="1:11" ht="18.75" x14ac:dyDescent="0.3">
      <c r="A54" s="281" t="s">
        <v>1</v>
      </c>
      <c r="B54" s="326" t="s">
        <v>84</v>
      </c>
    </row>
    <row r="55" spans="1:11" ht="18.75" x14ac:dyDescent="0.3">
      <c r="A55" s="282" t="s">
        <v>85</v>
      </c>
      <c r="B55" s="285">
        <f>B21</f>
        <v>0</v>
      </c>
    </row>
    <row r="56" spans="1:11" ht="26.25" customHeight="1" x14ac:dyDescent="0.4">
      <c r="A56" s="284" t="s">
        <v>86</v>
      </c>
      <c r="B56" s="429">
        <v>250</v>
      </c>
      <c r="C56" s="282">
        <f>B20</f>
        <v>0</v>
      </c>
      <c r="H56" s="291"/>
    </row>
    <row r="57" spans="1:11" ht="18.75" x14ac:dyDescent="0.3">
      <c r="A57" s="285" t="s">
        <v>87</v>
      </c>
      <c r="B57" s="460">
        <f>Uniformity!C46</f>
        <v>836.82</v>
      </c>
      <c r="H57" s="291"/>
    </row>
    <row r="58" spans="1:11" ht="19.5" customHeight="1" x14ac:dyDescent="0.3">
      <c r="H58" s="291"/>
    </row>
    <row r="59" spans="1:11" s="11" customFormat="1" ht="27" customHeight="1" x14ac:dyDescent="0.4">
      <c r="A59" s="300" t="s">
        <v>128</v>
      </c>
      <c r="B59" s="432">
        <v>100</v>
      </c>
      <c r="C59" s="282"/>
      <c r="D59" s="328" t="s">
        <v>129</v>
      </c>
      <c r="E59" s="327" t="s">
        <v>62</v>
      </c>
      <c r="F59" s="327" t="s">
        <v>63</v>
      </c>
      <c r="G59" s="327" t="s">
        <v>130</v>
      </c>
      <c r="H59" s="303" t="s">
        <v>131</v>
      </c>
      <c r="K59" s="292"/>
    </row>
    <row r="60" spans="1:11" s="11" customFormat="1" ht="22.5" customHeight="1" x14ac:dyDescent="0.4">
      <c r="A60" s="301" t="s">
        <v>113</v>
      </c>
      <c r="B60" s="433">
        <v>25</v>
      </c>
      <c r="C60" s="680" t="s">
        <v>132</v>
      </c>
      <c r="D60" s="684">
        <v>287.3</v>
      </c>
      <c r="E60" s="329">
        <v>1</v>
      </c>
      <c r="F60" s="441">
        <v>225221861</v>
      </c>
      <c r="G60" s="365">
        <f>IF(ISBLANK(F60),"-",(F60/$D$50*$D$47*$B$68)*($B$57/$D$60))</f>
        <v>295.62346948648462</v>
      </c>
      <c r="H60" s="367">
        <f t="shared" ref="H60:H71" si="0">IF(ISBLANK(F60),"-",G60/$B$56)</f>
        <v>1.1824938779459384</v>
      </c>
      <c r="K60" s="292"/>
    </row>
    <row r="61" spans="1:11" s="11" customFormat="1" ht="26.25" customHeight="1" x14ac:dyDescent="0.4">
      <c r="A61" s="301" t="s">
        <v>114</v>
      </c>
      <c r="B61" s="433">
        <v>50</v>
      </c>
      <c r="C61" s="681"/>
      <c r="D61" s="685"/>
      <c r="E61" s="330">
        <v>2</v>
      </c>
      <c r="F61" s="435">
        <v>225522758</v>
      </c>
      <c r="G61" s="366">
        <f>IF(ISBLANK(F61),"-",(F61/$D$50*$D$47*$B$68)*($B$57/$D$60))</f>
        <v>296.01842322100714</v>
      </c>
      <c r="H61" s="368">
        <f t="shared" si="0"/>
        <v>1.1840736928840285</v>
      </c>
      <c r="K61" s="292"/>
    </row>
    <row r="62" spans="1:11" s="11" customFormat="1" ht="26.25" customHeight="1" x14ac:dyDescent="0.4">
      <c r="A62" s="301" t="s">
        <v>115</v>
      </c>
      <c r="B62" s="433">
        <v>1</v>
      </c>
      <c r="C62" s="681"/>
      <c r="D62" s="685"/>
      <c r="E62" s="330">
        <v>3</v>
      </c>
      <c r="F62" s="435">
        <v>226051930</v>
      </c>
      <c r="G62" s="366">
        <f>IF(ISBLANK(F62),"-",(F62/$D$50*$D$47*$B$68)*($B$57/$D$60))</f>
        <v>296.71300793805244</v>
      </c>
      <c r="H62" s="368">
        <f t="shared" si="0"/>
        <v>1.1868520317522098</v>
      </c>
      <c r="K62" s="292"/>
    </row>
    <row r="63" spans="1:11" ht="21" customHeight="1" x14ac:dyDescent="0.4">
      <c r="A63" s="301" t="s">
        <v>116</v>
      </c>
      <c r="B63" s="433">
        <v>1</v>
      </c>
      <c r="C63" s="682"/>
      <c r="D63" s="686"/>
      <c r="E63" s="331">
        <v>4</v>
      </c>
      <c r="F63" s="442"/>
      <c r="G63" s="366" t="str">
        <f>IF(ISBLANK(F63),"-",(F63/$D$50*$D$47*$B$68)*($B$57/$D$60))</f>
        <v>-</v>
      </c>
      <c r="H63" s="368" t="str">
        <f t="shared" si="0"/>
        <v>-</v>
      </c>
    </row>
    <row r="64" spans="1:11" ht="26.25" customHeight="1" x14ac:dyDescent="0.4">
      <c r="A64" s="301" t="s">
        <v>117</v>
      </c>
      <c r="B64" s="433">
        <v>1</v>
      </c>
      <c r="C64" s="680" t="s">
        <v>133</v>
      </c>
      <c r="D64" s="684">
        <v>283.76</v>
      </c>
      <c r="E64" s="329">
        <v>1</v>
      </c>
      <c r="F64" s="441">
        <v>222533090</v>
      </c>
      <c r="G64" s="393">
        <f>IF(ISBLANK(F64),"-",(F64/$D$50*$D$47*$B$68)*($B$57/$D$64))</f>
        <v>295.73819361908471</v>
      </c>
      <c r="H64" s="390">
        <f t="shared" si="0"/>
        <v>1.1829527744763388</v>
      </c>
    </row>
    <row r="65" spans="1:8" ht="26.25" customHeight="1" x14ac:dyDescent="0.4">
      <c r="A65" s="301" t="s">
        <v>118</v>
      </c>
      <c r="B65" s="433">
        <v>1</v>
      </c>
      <c r="C65" s="681"/>
      <c r="D65" s="685"/>
      <c r="E65" s="330">
        <v>2</v>
      </c>
      <c r="F65" s="435">
        <v>222219107</v>
      </c>
      <c r="G65" s="394">
        <f>IF(ISBLANK(F65),"-",(F65/$D$50*$D$47*$B$68)*($B$57/$D$64))</f>
        <v>295.32092189896844</v>
      </c>
      <c r="H65" s="391">
        <f t="shared" si="0"/>
        <v>1.1812836875958737</v>
      </c>
    </row>
    <row r="66" spans="1:8" ht="26.25" customHeight="1" x14ac:dyDescent="0.4">
      <c r="A66" s="301" t="s">
        <v>119</v>
      </c>
      <c r="B66" s="433">
        <v>1</v>
      </c>
      <c r="C66" s="681"/>
      <c r="D66" s="685"/>
      <c r="E66" s="330">
        <v>3</v>
      </c>
      <c r="F66" s="435">
        <v>222118606</v>
      </c>
      <c r="G66" s="394">
        <f>IF(ISBLANK(F66),"-",(F66/$D$50*$D$47*$B$68)*($B$57/$D$64))</f>
        <v>295.18735981075531</v>
      </c>
      <c r="H66" s="391">
        <f t="shared" si="0"/>
        <v>1.1807494392430213</v>
      </c>
    </row>
    <row r="67" spans="1:8" ht="21" customHeight="1" x14ac:dyDescent="0.4">
      <c r="A67" s="301" t="s">
        <v>120</v>
      </c>
      <c r="B67" s="433">
        <v>1</v>
      </c>
      <c r="C67" s="682"/>
      <c r="D67" s="686"/>
      <c r="E67" s="331">
        <v>4</v>
      </c>
      <c r="F67" s="442"/>
      <c r="G67" s="395" t="str">
        <f>IF(ISBLANK(F67),"-",(F67/$D$50*$D$47*$B$68)*($B$57/$D$64))</f>
        <v>-</v>
      </c>
      <c r="H67" s="392" t="str">
        <f t="shared" si="0"/>
        <v>-</v>
      </c>
    </row>
    <row r="68" spans="1:8" ht="21.75" customHeight="1" x14ac:dyDescent="0.4">
      <c r="A68" s="301" t="s">
        <v>121</v>
      </c>
      <c r="B68" s="402">
        <f>(B67/B66)*(B65/B64)*(B63/B62)*(B61/B60)*B59</f>
        <v>200</v>
      </c>
      <c r="C68" s="680" t="s">
        <v>134</v>
      </c>
      <c r="D68" s="684">
        <v>286.77999999999997</v>
      </c>
      <c r="E68" s="329">
        <v>1</v>
      </c>
      <c r="F68" s="441">
        <v>226289106</v>
      </c>
      <c r="G68" s="393">
        <f>IF(ISBLANK(F68),"-",(F68/$D$50*$D$47*$B$68)*($B$57/$D$68))</f>
        <v>297.56289764503271</v>
      </c>
      <c r="H68" s="368">
        <f t="shared" si="0"/>
        <v>1.1902515905801307</v>
      </c>
    </row>
    <row r="69" spans="1:8" ht="21.75" customHeight="1" x14ac:dyDescent="0.4">
      <c r="A69" s="420" t="s">
        <v>135</v>
      </c>
      <c r="B69" s="440">
        <f>D47*B68/B56*B57</f>
        <v>334.72800000000007</v>
      </c>
      <c r="C69" s="681"/>
      <c r="D69" s="685"/>
      <c r="E69" s="330">
        <v>2</v>
      </c>
      <c r="F69" s="435">
        <v>226394200</v>
      </c>
      <c r="G69" s="394">
        <f>IF(ISBLANK(F69),"-",(F69/$D$50*$D$47*$B$68)*($B$57/$D$68))</f>
        <v>297.70109287554067</v>
      </c>
      <c r="H69" s="368">
        <f t="shared" si="0"/>
        <v>1.1908043715021626</v>
      </c>
    </row>
    <row r="70" spans="1:8" ht="22.5" customHeight="1" x14ac:dyDescent="0.4">
      <c r="A70" s="687" t="s">
        <v>77</v>
      </c>
      <c r="B70" s="688"/>
      <c r="C70" s="681"/>
      <c r="D70" s="685"/>
      <c r="E70" s="330">
        <v>3</v>
      </c>
      <c r="F70" s="435">
        <v>226217531</v>
      </c>
      <c r="G70" s="394">
        <f>IF(ISBLANK(F70),"-",(F70/$D$50*$D$47*$B$68)*($B$57/$D$68))</f>
        <v>297.46877882165927</v>
      </c>
      <c r="H70" s="368">
        <f t="shared" si="0"/>
        <v>1.1898751152866371</v>
      </c>
    </row>
    <row r="71" spans="1:8" ht="21.75" customHeight="1" x14ac:dyDescent="0.4">
      <c r="A71" s="689"/>
      <c r="B71" s="690"/>
      <c r="C71" s="683"/>
      <c r="D71" s="686"/>
      <c r="E71" s="331">
        <v>4</v>
      </c>
      <c r="F71" s="442"/>
      <c r="G71" s="395" t="str">
        <f>IF(ISBLANK(F71),"-",(F71/$D$50*$D$47*$B$68)*($B$57/$D$68))</f>
        <v>-</v>
      </c>
      <c r="H71" s="369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22" t="s">
        <v>70</v>
      </c>
      <c r="H72" s="443">
        <f>AVERAGE(H60:H71)</f>
        <v>1.1854818423629268</v>
      </c>
    </row>
    <row r="73" spans="1:8" ht="26.25" customHeight="1" x14ac:dyDescent="0.4">
      <c r="C73" s="332"/>
      <c r="D73" s="332"/>
      <c r="E73" s="332"/>
      <c r="F73" s="333"/>
      <c r="G73" s="319" t="s">
        <v>83</v>
      </c>
      <c r="H73" s="444">
        <f>STDEV(H60:H71)/H72</f>
        <v>3.3949848589718847E-3</v>
      </c>
    </row>
    <row r="74" spans="1:8" ht="27" customHeight="1" x14ac:dyDescent="0.4">
      <c r="A74" s="332"/>
      <c r="B74" s="332"/>
      <c r="C74" s="333"/>
      <c r="D74" s="333"/>
      <c r="E74" s="334"/>
      <c r="F74" s="333"/>
      <c r="G74" s="321" t="s">
        <v>20</v>
      </c>
      <c r="H74" s="445">
        <f>COUNT(H60:H71)</f>
        <v>9</v>
      </c>
    </row>
    <row r="75" spans="1:8" ht="18.75" x14ac:dyDescent="0.3">
      <c r="A75" s="332"/>
      <c r="B75" s="332"/>
      <c r="C75" s="333"/>
      <c r="D75" s="333"/>
      <c r="E75" s="334"/>
      <c r="F75" s="333"/>
      <c r="G75" s="354"/>
      <c r="H75" s="409"/>
    </row>
    <row r="76" spans="1:8" ht="18.75" x14ac:dyDescent="0.3">
      <c r="A76" s="288" t="s">
        <v>95</v>
      </c>
      <c r="B76" s="426" t="s">
        <v>122</v>
      </c>
      <c r="C76" s="666">
        <f>B20</f>
        <v>0</v>
      </c>
      <c r="D76" s="666"/>
      <c r="E76" s="427" t="s">
        <v>97</v>
      </c>
      <c r="F76" s="427"/>
      <c r="G76" s="428">
        <f>H72</f>
        <v>1.1854818423629268</v>
      </c>
      <c r="H76" s="409"/>
    </row>
    <row r="77" spans="1:8" ht="18.75" x14ac:dyDescent="0.3">
      <c r="A77" s="332"/>
      <c r="B77" s="332"/>
      <c r="C77" s="333"/>
      <c r="D77" s="333"/>
      <c r="E77" s="334"/>
      <c r="F77" s="333"/>
      <c r="G77" s="354"/>
      <c r="H77" s="409"/>
    </row>
    <row r="78" spans="1:8" ht="26.25" customHeight="1" x14ac:dyDescent="0.4">
      <c r="A78" s="287" t="s">
        <v>136</v>
      </c>
      <c r="B78" s="287" t="s">
        <v>137</v>
      </c>
      <c r="D78" s="449" t="s">
        <v>138</v>
      </c>
    </row>
    <row r="79" spans="1:8" ht="18.75" x14ac:dyDescent="0.3">
      <c r="A79" s="287"/>
      <c r="B79" s="287"/>
    </row>
    <row r="80" spans="1:8" ht="26.25" customHeight="1" x14ac:dyDescent="0.4">
      <c r="A80" s="288" t="s">
        <v>4</v>
      </c>
      <c r="B80" s="671" t="str">
        <f>B26</f>
        <v>USP Amoxicillin RS</v>
      </c>
      <c r="C80" s="671"/>
    </row>
    <row r="81" spans="1:11" ht="26.25" customHeight="1" x14ac:dyDescent="0.4">
      <c r="A81" s="290" t="s">
        <v>48</v>
      </c>
      <c r="B81" s="429" t="str">
        <f>B27</f>
        <v>F0J018</v>
      </c>
    </row>
    <row r="82" spans="1:11" ht="27" customHeight="1" x14ac:dyDescent="0.4">
      <c r="A82" s="290" t="s">
        <v>6</v>
      </c>
      <c r="B82" s="429">
        <f>B28</f>
        <v>85.3</v>
      </c>
    </row>
    <row r="83" spans="1:11" s="11" customFormat="1" ht="27" customHeight="1" x14ac:dyDescent="0.4">
      <c r="A83" s="290" t="s">
        <v>49</v>
      </c>
      <c r="B83" s="429">
        <f>B29</f>
        <v>0</v>
      </c>
      <c r="C83" s="673" t="s">
        <v>106</v>
      </c>
      <c r="D83" s="674"/>
      <c r="E83" s="674"/>
      <c r="F83" s="674"/>
      <c r="G83" s="675"/>
      <c r="I83" s="292"/>
      <c r="J83" s="292"/>
      <c r="K83" s="292"/>
    </row>
    <row r="84" spans="1:11" s="11" customFormat="1" ht="19.5" customHeight="1" x14ac:dyDescent="0.3">
      <c r="A84" s="290" t="s">
        <v>51</v>
      </c>
      <c r="B84" s="289">
        <f>B82-B83</f>
        <v>85.3</v>
      </c>
      <c r="C84" s="293"/>
      <c r="D84" s="293"/>
      <c r="E84" s="293"/>
      <c r="F84" s="293"/>
      <c r="G84" s="294"/>
      <c r="I84" s="292"/>
      <c r="J84" s="292"/>
      <c r="K84" s="292"/>
    </row>
    <row r="85" spans="1:11" s="11" customFormat="1" ht="27" customHeight="1" x14ac:dyDescent="0.4">
      <c r="A85" s="290" t="s">
        <v>52</v>
      </c>
      <c r="B85" s="431">
        <v>1</v>
      </c>
      <c r="C85" s="658" t="s">
        <v>53</v>
      </c>
      <c r="D85" s="659"/>
      <c r="E85" s="659"/>
      <c r="F85" s="659"/>
      <c r="G85" s="659"/>
      <c r="H85" s="676"/>
      <c r="I85" s="292"/>
      <c r="J85" s="292"/>
      <c r="K85" s="292"/>
    </row>
    <row r="86" spans="1:11" s="11" customFormat="1" ht="27" customHeight="1" x14ac:dyDescent="0.4">
      <c r="A86" s="290" t="s">
        <v>54</v>
      </c>
      <c r="B86" s="431">
        <v>1</v>
      </c>
      <c r="C86" s="658" t="s">
        <v>55</v>
      </c>
      <c r="D86" s="659"/>
      <c r="E86" s="659"/>
      <c r="F86" s="659"/>
      <c r="G86" s="659"/>
      <c r="H86" s="676"/>
      <c r="I86" s="292"/>
      <c r="J86" s="292"/>
      <c r="K86" s="292"/>
    </row>
    <row r="87" spans="1:11" s="11" customFormat="1" ht="18.75" x14ac:dyDescent="0.3">
      <c r="A87" s="290"/>
      <c r="B87" s="289"/>
      <c r="C87" s="293"/>
      <c r="D87" s="293"/>
      <c r="E87" s="293"/>
      <c r="F87" s="293"/>
      <c r="G87" s="294"/>
      <c r="I87" s="292"/>
      <c r="J87" s="292"/>
      <c r="K87" s="292"/>
    </row>
    <row r="88" spans="1:11" s="11" customFormat="1" ht="18.75" x14ac:dyDescent="0.3">
      <c r="A88" s="290" t="s">
        <v>56</v>
      </c>
      <c r="B88" s="299">
        <f>B85/B86</f>
        <v>1</v>
      </c>
      <c r="C88" s="282" t="s">
        <v>57</v>
      </c>
      <c r="D88" s="293"/>
      <c r="E88" s="293"/>
      <c r="F88" s="293"/>
      <c r="G88" s="294"/>
      <c r="I88" s="292"/>
      <c r="J88" s="292"/>
      <c r="K88" s="292"/>
    </row>
    <row r="89" spans="1:11" ht="19.5" customHeight="1" x14ac:dyDescent="0.3">
      <c r="A89" s="287"/>
      <c r="B89" s="287"/>
    </row>
    <row r="90" spans="1:11" ht="27" customHeight="1" x14ac:dyDescent="0.4">
      <c r="A90" s="300" t="s">
        <v>126</v>
      </c>
      <c r="B90" s="432">
        <v>50</v>
      </c>
      <c r="D90" s="363" t="s">
        <v>59</v>
      </c>
      <c r="E90" s="364"/>
      <c r="F90" s="660" t="s">
        <v>60</v>
      </c>
      <c r="G90" s="661"/>
    </row>
    <row r="91" spans="1:11" ht="26.25" customHeight="1" x14ac:dyDescent="0.4">
      <c r="A91" s="301" t="s">
        <v>61</v>
      </c>
      <c r="B91" s="433">
        <v>1</v>
      </c>
      <c r="C91" s="360" t="s">
        <v>127</v>
      </c>
      <c r="D91" s="304" t="s">
        <v>63</v>
      </c>
      <c r="E91" s="361" t="s">
        <v>64</v>
      </c>
      <c r="F91" s="304" t="s">
        <v>63</v>
      </c>
      <c r="G91" s="305" t="s">
        <v>64</v>
      </c>
    </row>
    <row r="92" spans="1:11" ht="26.25" customHeight="1" x14ac:dyDescent="0.4">
      <c r="A92" s="301" t="s">
        <v>65</v>
      </c>
      <c r="B92" s="433">
        <v>1</v>
      </c>
      <c r="C92" s="358">
        <v>1</v>
      </c>
      <c r="D92" s="434">
        <v>191134937</v>
      </c>
      <c r="E92" s="377">
        <f>IF(ISBLANK(D92),"-",$D$102/$D$99*D92)</f>
        <v>122863635.08268943</v>
      </c>
      <c r="F92" s="434">
        <v>181602443</v>
      </c>
      <c r="G92" s="380">
        <f>IF(ISBLANK(F92),"-",$D$102/$F$99*F92)</f>
        <v>123410850.47851235</v>
      </c>
    </row>
    <row r="93" spans="1:11" ht="26.25" customHeight="1" x14ac:dyDescent="0.4">
      <c r="A93" s="301" t="s">
        <v>66</v>
      </c>
      <c r="B93" s="433">
        <v>1</v>
      </c>
      <c r="C93" s="333">
        <v>2</v>
      </c>
      <c r="D93" s="435">
        <v>191234849</v>
      </c>
      <c r="E93" s="378">
        <f>IF(ISBLANK(D93),"-",$D$102/$D$99*D93)</f>
        <v>122927859.61275733</v>
      </c>
      <c r="F93" s="435">
        <v>181706493</v>
      </c>
      <c r="G93" s="381">
        <f>IF(ISBLANK(F93),"-",$D$102/$F$99*F93)</f>
        <v>123481559.32350452</v>
      </c>
    </row>
    <row r="94" spans="1:11" ht="26.25" customHeight="1" x14ac:dyDescent="0.4">
      <c r="A94" s="301" t="s">
        <v>67</v>
      </c>
      <c r="B94" s="433">
        <v>1</v>
      </c>
      <c r="C94" s="333">
        <v>3</v>
      </c>
      <c r="D94" s="435">
        <v>191392158</v>
      </c>
      <c r="E94" s="378">
        <f>IF(ISBLANK(D94),"-",$D$102/$D$99*D94)</f>
        <v>123028979.56431921</v>
      </c>
      <c r="F94" s="435">
        <v>181742234</v>
      </c>
      <c r="G94" s="381">
        <f>IF(ISBLANK(F94),"-",$D$102/$F$99*F94)</f>
        <v>123505847.69283529</v>
      </c>
    </row>
    <row r="95" spans="1:11" ht="26.25" customHeight="1" x14ac:dyDescent="0.4">
      <c r="A95" s="301" t="s">
        <v>68</v>
      </c>
      <c r="B95" s="433">
        <v>1</v>
      </c>
      <c r="C95" s="362">
        <v>4</v>
      </c>
      <c r="D95" s="436"/>
      <c r="E95" s="379" t="str">
        <f>IF(ISBLANK(D95),"-",$D$102/$D$99*D95)</f>
        <v>-</v>
      </c>
      <c r="F95" s="446"/>
      <c r="G95" s="382" t="str">
        <f>IF(ISBLANK(F95),"-",$D$102/$F$99*F95)</f>
        <v>-</v>
      </c>
    </row>
    <row r="96" spans="1:11" ht="27" customHeight="1" x14ac:dyDescent="0.4">
      <c r="A96" s="301" t="s">
        <v>69</v>
      </c>
      <c r="B96" s="433">
        <v>1</v>
      </c>
      <c r="C96" s="354" t="s">
        <v>70</v>
      </c>
      <c r="D96" s="421">
        <f>AVERAGE(D92:D95)</f>
        <v>191253981.33333334</v>
      </c>
      <c r="E96" s="336">
        <f>AVERAGE(E92:E95)</f>
        <v>122940158.08658867</v>
      </c>
      <c r="F96" s="359">
        <f>AVERAGE(F92:F95)</f>
        <v>181683723.33333334</v>
      </c>
      <c r="G96" s="383">
        <f>AVERAGE(G92:G95)</f>
        <v>123466085.83161737</v>
      </c>
    </row>
    <row r="97" spans="1:9" ht="26.25" customHeight="1" x14ac:dyDescent="0.4">
      <c r="A97" s="301" t="s">
        <v>71</v>
      </c>
      <c r="B97" s="430">
        <v>1</v>
      </c>
      <c r="C97" s="412" t="s">
        <v>72</v>
      </c>
      <c r="D97" s="437">
        <v>25.33</v>
      </c>
      <c r="E97" s="308"/>
      <c r="F97" s="438">
        <v>23.96</v>
      </c>
    </row>
    <row r="98" spans="1:9" ht="26.25" customHeight="1" x14ac:dyDescent="0.4">
      <c r="A98" s="301" t="s">
        <v>73</v>
      </c>
      <c r="B98" s="430">
        <v>1</v>
      </c>
      <c r="C98" s="413" t="s">
        <v>74</v>
      </c>
      <c r="D98" s="414">
        <f>D97*B88</f>
        <v>25.33</v>
      </c>
      <c r="E98" s="315"/>
      <c r="F98" s="314">
        <f>F97*B88</f>
        <v>23.96</v>
      </c>
    </row>
    <row r="99" spans="1:9" ht="19.5" customHeight="1" x14ac:dyDescent="0.3">
      <c r="A99" s="301" t="s">
        <v>75</v>
      </c>
      <c r="B99" s="410">
        <f>(B98/B97)*(B96/B95)*(B94/B93)*(B92/B91)*B90</f>
        <v>50</v>
      </c>
      <c r="C99" s="413" t="s">
        <v>76</v>
      </c>
      <c r="D99" s="415">
        <f>D98*$B$84/100</f>
        <v>21.606489999999997</v>
      </c>
      <c r="E99" s="317"/>
      <c r="F99" s="316">
        <f>F98*$B$84/100</f>
        <v>20.43788</v>
      </c>
    </row>
    <row r="100" spans="1:9" ht="19.5" customHeight="1" x14ac:dyDescent="0.3">
      <c r="A100" s="662" t="s">
        <v>77</v>
      </c>
      <c r="B100" s="667"/>
      <c r="C100" s="413" t="s">
        <v>78</v>
      </c>
      <c r="D100" s="414">
        <f>D99/$B$99</f>
        <v>0.43212979999999995</v>
      </c>
      <c r="E100" s="317"/>
      <c r="F100" s="318">
        <f>F99/$B$99</f>
        <v>0.4087576</v>
      </c>
      <c r="G100" s="396"/>
      <c r="H100" s="397"/>
    </row>
    <row r="101" spans="1:9" ht="19.5" customHeight="1" x14ac:dyDescent="0.3">
      <c r="A101" s="664"/>
      <c r="B101" s="668"/>
      <c r="C101" s="413" t="s">
        <v>79</v>
      </c>
      <c r="D101" s="422">
        <f>$B$56/$B$117</f>
        <v>0.27777777777777779</v>
      </c>
      <c r="F101" s="320"/>
      <c r="G101" s="398"/>
      <c r="H101" s="397"/>
    </row>
    <row r="102" spans="1:9" ht="18.75" x14ac:dyDescent="0.3">
      <c r="C102" s="413" t="s">
        <v>80</v>
      </c>
      <c r="D102" s="414">
        <f>D101*$B$99</f>
        <v>13.888888888888889</v>
      </c>
      <c r="F102" s="320"/>
      <c r="G102" s="396"/>
      <c r="H102" s="397"/>
    </row>
    <row r="103" spans="1:9" ht="19.5" customHeight="1" x14ac:dyDescent="0.3">
      <c r="C103" s="416" t="s">
        <v>81</v>
      </c>
      <c r="D103" s="423">
        <f>D102/B34</f>
        <v>13.888888888888889</v>
      </c>
      <c r="F103" s="323"/>
      <c r="G103" s="396"/>
      <c r="H103" s="397"/>
      <c r="I103" s="337"/>
    </row>
    <row r="104" spans="1:9" ht="18.75" x14ac:dyDescent="0.3">
      <c r="C104" s="418" t="s">
        <v>139</v>
      </c>
      <c r="D104" s="419">
        <f>AVERAGE(E92:E95,G92:G95)</f>
        <v>123203121.95910303</v>
      </c>
      <c r="F104" s="323"/>
      <c r="G104" s="399"/>
      <c r="H104" s="397"/>
      <c r="I104" s="339"/>
    </row>
    <row r="105" spans="1:9" ht="18.75" x14ac:dyDescent="0.3">
      <c r="C105" s="319" t="s">
        <v>83</v>
      </c>
      <c r="D105" s="338">
        <f>STDEV(E92:E95,G92:G95)/D104</f>
        <v>2.3904066925258508E-3</v>
      </c>
      <c r="F105" s="323"/>
      <c r="G105" s="396"/>
      <c r="H105" s="397"/>
      <c r="I105" s="339"/>
    </row>
    <row r="106" spans="1:9" ht="19.5" customHeight="1" x14ac:dyDescent="0.3">
      <c r="C106" s="321" t="s">
        <v>20</v>
      </c>
      <c r="D106" s="340">
        <f>COUNT(E92:E95,G92:G95)</f>
        <v>6</v>
      </c>
      <c r="F106" s="323"/>
      <c r="G106" s="396"/>
      <c r="H106" s="397"/>
      <c r="I106" s="339"/>
    </row>
    <row r="107" spans="1:9" ht="19.5" customHeight="1" x14ac:dyDescent="0.3">
      <c r="A107" s="281"/>
      <c r="B107" s="281"/>
      <c r="C107" s="281"/>
      <c r="D107" s="281"/>
      <c r="E107" s="281"/>
    </row>
    <row r="108" spans="1:9" ht="26.25" customHeight="1" x14ac:dyDescent="0.4">
      <c r="A108" s="300" t="s">
        <v>109</v>
      </c>
      <c r="B108" s="432">
        <v>900</v>
      </c>
      <c r="C108" s="341" t="s">
        <v>110</v>
      </c>
      <c r="D108" s="342" t="s">
        <v>63</v>
      </c>
      <c r="E108" s="343" t="s">
        <v>111</v>
      </c>
      <c r="F108" s="344" t="s">
        <v>112</v>
      </c>
    </row>
    <row r="109" spans="1:9" ht="26.25" customHeight="1" x14ac:dyDescent="0.4">
      <c r="A109" s="301" t="s">
        <v>113</v>
      </c>
      <c r="B109" s="433">
        <v>1</v>
      </c>
      <c r="C109" s="307">
        <v>1</v>
      </c>
      <c r="D109" s="447">
        <v>97763407</v>
      </c>
      <c r="E109" s="345">
        <f t="shared" ref="E109:E114" si="1">IF(ISBLANK(D109),"-",D109/$D$104*$D$101*$B$117)</f>
        <v>198.37850990588601</v>
      </c>
      <c r="F109" s="346">
        <f t="shared" ref="F109:F114" si="2">IF(ISBLANK(D109), "-", E109/$B$56)</f>
        <v>0.79351403962354405</v>
      </c>
    </row>
    <row r="110" spans="1:9" ht="26.25" customHeight="1" x14ac:dyDescent="0.4">
      <c r="A110" s="301" t="s">
        <v>114</v>
      </c>
      <c r="B110" s="433">
        <v>1</v>
      </c>
      <c r="C110" s="307">
        <v>2</v>
      </c>
      <c r="D110" s="447">
        <v>113462831</v>
      </c>
      <c r="E110" s="347">
        <f t="shared" si="1"/>
        <v>230.23530003903574</v>
      </c>
      <c r="F110" s="370">
        <f t="shared" si="2"/>
        <v>0.92094120015614289</v>
      </c>
    </row>
    <row r="111" spans="1:9" ht="26.25" customHeight="1" x14ac:dyDescent="0.4">
      <c r="A111" s="301" t="s">
        <v>115</v>
      </c>
      <c r="B111" s="433">
        <v>1</v>
      </c>
      <c r="C111" s="307">
        <v>3</v>
      </c>
      <c r="D111" s="447">
        <v>107674311</v>
      </c>
      <c r="E111" s="347">
        <f t="shared" si="1"/>
        <v>218.48941262166679</v>
      </c>
      <c r="F111" s="370">
        <f t="shared" si="2"/>
        <v>0.87395765048666718</v>
      </c>
    </row>
    <row r="112" spans="1:9" ht="26.25" customHeight="1" x14ac:dyDescent="0.4">
      <c r="A112" s="301" t="s">
        <v>116</v>
      </c>
      <c r="B112" s="433">
        <v>1</v>
      </c>
      <c r="C112" s="307">
        <v>4</v>
      </c>
      <c r="D112" s="447">
        <v>93648936</v>
      </c>
      <c r="E112" s="347">
        <f t="shared" si="1"/>
        <v>190.0295514246111</v>
      </c>
      <c r="F112" s="370">
        <f t="shared" si="2"/>
        <v>0.76011820569844435</v>
      </c>
    </row>
    <row r="113" spans="1:9" ht="26.25" customHeight="1" x14ac:dyDescent="0.4">
      <c r="A113" s="301" t="s">
        <v>117</v>
      </c>
      <c r="B113" s="433">
        <v>1</v>
      </c>
      <c r="C113" s="307">
        <v>5</v>
      </c>
      <c r="D113" s="447">
        <v>102586228</v>
      </c>
      <c r="E113" s="347">
        <f t="shared" si="1"/>
        <v>208.16483050253638</v>
      </c>
      <c r="F113" s="370">
        <f t="shared" si="2"/>
        <v>0.83265932201014548</v>
      </c>
    </row>
    <row r="114" spans="1:9" ht="26.25" customHeight="1" x14ac:dyDescent="0.4">
      <c r="A114" s="301" t="s">
        <v>118</v>
      </c>
      <c r="B114" s="433">
        <v>1</v>
      </c>
      <c r="C114" s="310">
        <v>6</v>
      </c>
      <c r="D114" s="448">
        <v>93380627</v>
      </c>
      <c r="E114" s="348">
        <f t="shared" si="1"/>
        <v>189.48510702309449</v>
      </c>
      <c r="F114" s="371">
        <f t="shared" si="2"/>
        <v>0.75794042809237794</v>
      </c>
    </row>
    <row r="115" spans="1:9" ht="26.25" customHeight="1" x14ac:dyDescent="0.4">
      <c r="A115" s="301" t="s">
        <v>119</v>
      </c>
      <c r="B115" s="433">
        <v>1</v>
      </c>
      <c r="C115" s="307"/>
      <c r="D115" s="333"/>
      <c r="E115" s="335"/>
      <c r="F115" s="349"/>
    </row>
    <row r="116" spans="1:9" ht="26.25" customHeight="1" x14ac:dyDescent="0.4">
      <c r="A116" s="301" t="s">
        <v>120</v>
      </c>
      <c r="B116" s="433">
        <v>1</v>
      </c>
      <c r="C116" s="307"/>
      <c r="D116" s="350"/>
      <c r="E116" s="351" t="s">
        <v>70</v>
      </c>
      <c r="F116" s="454">
        <f>AVERAGE(F109:F114)</f>
        <v>0.82318847434455356</v>
      </c>
    </row>
    <row r="117" spans="1:9" ht="27" customHeight="1" x14ac:dyDescent="0.4">
      <c r="A117" s="301" t="s">
        <v>121</v>
      </c>
      <c r="B117" s="401">
        <f>(B116/B115)*(B114/B113)*(B112/B111)*(B110/B109)*B108</f>
        <v>900</v>
      </c>
      <c r="C117" s="352"/>
      <c r="D117" s="353"/>
      <c r="E117" s="354" t="s">
        <v>83</v>
      </c>
      <c r="F117" s="455">
        <f>STDEV(F109:F114)/F116</f>
        <v>7.9359343679068953E-2</v>
      </c>
    </row>
    <row r="118" spans="1:9" ht="27" customHeight="1" x14ac:dyDescent="0.4">
      <c r="A118" s="662" t="s">
        <v>77</v>
      </c>
      <c r="B118" s="663"/>
      <c r="C118" s="355"/>
      <c r="D118" s="356"/>
      <c r="E118" s="357" t="s">
        <v>20</v>
      </c>
      <c r="F118" s="456">
        <f>COUNT(F109:F114)</f>
        <v>6</v>
      </c>
      <c r="I118" s="339"/>
    </row>
    <row r="119" spans="1:9" ht="19.5" customHeight="1" x14ac:dyDescent="0.3">
      <c r="A119" s="664"/>
      <c r="B119" s="665"/>
      <c r="C119" s="335"/>
      <c r="D119" s="335"/>
      <c r="E119" s="335"/>
      <c r="F119" s="333"/>
      <c r="G119" s="335"/>
      <c r="H119" s="335"/>
    </row>
    <row r="120" spans="1:9" ht="18.75" x14ac:dyDescent="0.3">
      <c r="A120" s="298"/>
      <c r="B120" s="298"/>
      <c r="C120" s="335"/>
      <c r="D120" s="335"/>
      <c r="E120" s="335"/>
      <c r="F120" s="333"/>
      <c r="G120" s="335"/>
      <c r="H120" s="335"/>
    </row>
    <row r="121" spans="1:9" ht="26.25" customHeight="1" x14ac:dyDescent="0.4">
      <c r="A121" s="288" t="s">
        <v>95</v>
      </c>
      <c r="B121" s="426" t="s">
        <v>122</v>
      </c>
      <c r="C121" s="666">
        <f>B20</f>
        <v>0</v>
      </c>
      <c r="D121" s="666"/>
      <c r="E121" s="427" t="s">
        <v>123</v>
      </c>
      <c r="F121" s="427"/>
      <c r="G121" s="457">
        <f>F116</f>
        <v>0.82318847434455356</v>
      </c>
      <c r="H121" s="335"/>
    </row>
    <row r="122" spans="1:9" ht="18.75" x14ac:dyDescent="0.3">
      <c r="A122" s="298"/>
      <c r="B122" s="298"/>
      <c r="C122" s="335"/>
      <c r="D122" s="335"/>
      <c r="E122" s="335"/>
      <c r="F122" s="333"/>
      <c r="G122" s="335"/>
      <c r="H122" s="335"/>
    </row>
    <row r="123" spans="1:9" ht="26.25" customHeight="1" x14ac:dyDescent="0.4">
      <c r="A123" s="287" t="s">
        <v>136</v>
      </c>
      <c r="B123" s="287" t="s">
        <v>137</v>
      </c>
      <c r="D123" s="449" t="s">
        <v>140</v>
      </c>
    </row>
    <row r="124" spans="1:9" ht="19.5" customHeight="1" x14ac:dyDescent="0.3">
      <c r="A124" s="281"/>
      <c r="B124" s="281"/>
      <c r="C124" s="281"/>
      <c r="D124" s="281"/>
      <c r="E124" s="281"/>
    </row>
    <row r="125" spans="1:9" ht="26.25" customHeight="1" x14ac:dyDescent="0.4">
      <c r="A125" s="300" t="s">
        <v>109</v>
      </c>
      <c r="B125" s="450">
        <v>900</v>
      </c>
      <c r="C125" s="341" t="s">
        <v>110</v>
      </c>
      <c r="D125" s="342" t="s">
        <v>63</v>
      </c>
      <c r="E125" s="343" t="s">
        <v>111</v>
      </c>
      <c r="F125" s="344" t="s">
        <v>112</v>
      </c>
    </row>
    <row r="126" spans="1:9" ht="26.25" customHeight="1" x14ac:dyDescent="0.4">
      <c r="A126" s="301" t="s">
        <v>113</v>
      </c>
      <c r="B126" s="451">
        <v>1</v>
      </c>
      <c r="C126" s="307">
        <v>1</v>
      </c>
      <c r="D126" s="452">
        <v>97763407</v>
      </c>
      <c r="E126" s="406">
        <f t="shared" ref="E126:E131" si="3">IF(ISBLANK(D126),"-",D126/$D$104*$D$101*$B$134)</f>
        <v>198.37850990588601</v>
      </c>
      <c r="F126" s="403">
        <f t="shared" ref="F126:F131" si="4">IF(ISBLANK(D126), "-", E126/$B$56)</f>
        <v>0.79351403962354405</v>
      </c>
    </row>
    <row r="127" spans="1:9" ht="26.25" customHeight="1" x14ac:dyDescent="0.4">
      <c r="A127" s="301" t="s">
        <v>114</v>
      </c>
      <c r="B127" s="451">
        <v>1</v>
      </c>
      <c r="C127" s="307">
        <v>2</v>
      </c>
      <c r="D127" s="452">
        <v>113462831</v>
      </c>
      <c r="E127" s="407">
        <f t="shared" si="3"/>
        <v>230.23530003903574</v>
      </c>
      <c r="F127" s="404">
        <f t="shared" si="4"/>
        <v>0.92094120015614289</v>
      </c>
    </row>
    <row r="128" spans="1:9" ht="26.25" customHeight="1" x14ac:dyDescent="0.4">
      <c r="A128" s="301" t="s">
        <v>115</v>
      </c>
      <c r="B128" s="451">
        <v>1</v>
      </c>
      <c r="C128" s="307">
        <v>3</v>
      </c>
      <c r="D128" s="452">
        <v>107674311</v>
      </c>
      <c r="E128" s="407">
        <f t="shared" si="3"/>
        <v>218.48941262166679</v>
      </c>
      <c r="F128" s="404">
        <f t="shared" si="4"/>
        <v>0.87395765048666718</v>
      </c>
    </row>
    <row r="129" spans="1:9" ht="26.25" customHeight="1" x14ac:dyDescent="0.4">
      <c r="A129" s="301" t="s">
        <v>116</v>
      </c>
      <c r="B129" s="451">
        <v>1</v>
      </c>
      <c r="C129" s="307">
        <v>4</v>
      </c>
      <c r="D129" s="452">
        <v>93648936</v>
      </c>
      <c r="E129" s="407">
        <f t="shared" si="3"/>
        <v>190.0295514246111</v>
      </c>
      <c r="F129" s="404">
        <f t="shared" si="4"/>
        <v>0.76011820569844435</v>
      </c>
    </row>
    <row r="130" spans="1:9" ht="26.25" customHeight="1" x14ac:dyDescent="0.4">
      <c r="A130" s="301" t="s">
        <v>117</v>
      </c>
      <c r="B130" s="451">
        <v>1</v>
      </c>
      <c r="C130" s="307">
        <v>5</v>
      </c>
      <c r="D130" s="452">
        <v>102586228</v>
      </c>
      <c r="E130" s="407">
        <f t="shared" si="3"/>
        <v>208.16483050253638</v>
      </c>
      <c r="F130" s="404">
        <f t="shared" si="4"/>
        <v>0.83265932201014548</v>
      </c>
    </row>
    <row r="131" spans="1:9" ht="26.25" customHeight="1" x14ac:dyDescent="0.4">
      <c r="A131" s="301" t="s">
        <v>118</v>
      </c>
      <c r="B131" s="451">
        <v>1</v>
      </c>
      <c r="C131" s="310">
        <v>6</v>
      </c>
      <c r="D131" s="453">
        <v>93380627</v>
      </c>
      <c r="E131" s="408">
        <f t="shared" si="3"/>
        <v>189.48510702309449</v>
      </c>
      <c r="F131" s="405">
        <f t="shared" si="4"/>
        <v>0.75794042809237794</v>
      </c>
    </row>
    <row r="132" spans="1:9" ht="26.25" customHeight="1" x14ac:dyDescent="0.4">
      <c r="A132" s="301" t="s">
        <v>119</v>
      </c>
      <c r="B132" s="451">
        <v>1</v>
      </c>
      <c r="C132" s="307"/>
      <c r="D132" s="333"/>
      <c r="E132" s="335"/>
      <c r="F132" s="349"/>
    </row>
    <row r="133" spans="1:9" ht="26.25" customHeight="1" x14ac:dyDescent="0.4">
      <c r="A133" s="301" t="s">
        <v>120</v>
      </c>
      <c r="B133" s="451">
        <v>1</v>
      </c>
      <c r="C133" s="307"/>
      <c r="D133" s="350"/>
      <c r="E133" s="351" t="s">
        <v>70</v>
      </c>
      <c r="F133" s="454">
        <f>AVERAGE(F126:F131)</f>
        <v>0.82318847434455356</v>
      </c>
    </row>
    <row r="134" spans="1:9" ht="27" customHeight="1" x14ac:dyDescent="0.4">
      <c r="A134" s="301" t="s">
        <v>121</v>
      </c>
      <c r="B134" s="458">
        <f>(B133/B132)*(B131/B130)*(B129/B128)*(B127/B126)*B125</f>
        <v>900</v>
      </c>
      <c r="C134" s="352"/>
      <c r="D134" s="353"/>
      <c r="E134" s="354" t="s">
        <v>83</v>
      </c>
      <c r="F134" s="455">
        <f>STDEV(F126:F131)/F133</f>
        <v>7.9359343679068953E-2</v>
      </c>
    </row>
    <row r="135" spans="1:9" ht="27" customHeight="1" x14ac:dyDescent="0.4">
      <c r="A135" s="662" t="s">
        <v>77</v>
      </c>
      <c r="B135" s="663"/>
      <c r="C135" s="355"/>
      <c r="D135" s="356"/>
      <c r="E135" s="357" t="s">
        <v>20</v>
      </c>
      <c r="F135" s="456">
        <f>COUNT(F126:F131)</f>
        <v>6</v>
      </c>
      <c r="I135" s="339"/>
    </row>
    <row r="136" spans="1:9" ht="19.5" customHeight="1" x14ac:dyDescent="0.3">
      <c r="A136" s="664"/>
      <c r="B136" s="665"/>
      <c r="C136" s="335"/>
      <c r="D136" s="335"/>
      <c r="E136" s="335"/>
      <c r="F136" s="333"/>
      <c r="G136" s="335"/>
      <c r="H136" s="335"/>
    </row>
    <row r="137" spans="1:9" ht="18.75" x14ac:dyDescent="0.3">
      <c r="A137" s="298"/>
      <c r="B137" s="298"/>
      <c r="C137" s="335"/>
      <c r="D137" s="335"/>
      <c r="E137" s="335"/>
      <c r="F137" s="333"/>
      <c r="G137" s="335"/>
      <c r="H137" s="335"/>
    </row>
    <row r="138" spans="1:9" ht="26.25" customHeight="1" x14ac:dyDescent="0.4">
      <c r="A138" s="288" t="s">
        <v>95</v>
      </c>
      <c r="B138" s="426" t="s">
        <v>122</v>
      </c>
      <c r="C138" s="666">
        <f>B20</f>
        <v>0</v>
      </c>
      <c r="D138" s="666"/>
      <c r="E138" s="427" t="s">
        <v>123</v>
      </c>
      <c r="F138" s="427"/>
      <c r="G138" s="457">
        <f>F133</f>
        <v>0.82318847434455356</v>
      </c>
      <c r="H138" s="335"/>
    </row>
    <row r="139" spans="1:9" ht="19.5" customHeight="1" x14ac:dyDescent="0.3">
      <c r="A139" s="372"/>
      <c r="B139" s="372"/>
      <c r="C139" s="373"/>
      <c r="D139" s="373"/>
      <c r="E139" s="373"/>
      <c r="F139" s="373"/>
      <c r="G139" s="373"/>
      <c r="H139" s="373"/>
    </row>
    <row r="140" spans="1:9" ht="18.75" x14ac:dyDescent="0.3">
      <c r="B140" s="657" t="s">
        <v>26</v>
      </c>
      <c r="C140" s="657"/>
      <c r="E140" s="360" t="s">
        <v>27</v>
      </c>
      <c r="F140" s="388"/>
      <c r="G140" s="657" t="s">
        <v>28</v>
      </c>
      <c r="H140" s="657"/>
    </row>
    <row r="141" spans="1:9" ht="83.1" customHeight="1" x14ac:dyDescent="0.3">
      <c r="A141" s="389" t="s">
        <v>29</v>
      </c>
      <c r="B141" s="424"/>
      <c r="C141" s="424"/>
      <c r="E141" s="384"/>
      <c r="F141" s="335"/>
      <c r="G141" s="386"/>
      <c r="H141" s="386"/>
    </row>
    <row r="142" spans="1:9" ht="83.1" customHeight="1" x14ac:dyDescent="0.3">
      <c r="A142" s="389" t="s">
        <v>30</v>
      </c>
      <c r="B142" s="425"/>
      <c r="C142" s="425"/>
      <c r="E142" s="385"/>
      <c r="F142" s="335"/>
      <c r="G142" s="387"/>
      <c r="H142" s="387"/>
    </row>
    <row r="143" spans="1:9" ht="18.75" x14ac:dyDescent="0.3">
      <c r="A143" s="332"/>
      <c r="B143" s="332"/>
      <c r="C143" s="333"/>
      <c r="D143" s="333"/>
      <c r="E143" s="333"/>
      <c r="F143" s="334"/>
      <c r="G143" s="333"/>
      <c r="H143" s="333"/>
    </row>
    <row r="144" spans="1:9" ht="18.75" x14ac:dyDescent="0.3">
      <c r="A144" s="332"/>
      <c r="B144" s="332"/>
      <c r="C144" s="333"/>
      <c r="D144" s="333"/>
      <c r="E144" s="333"/>
      <c r="F144" s="334"/>
      <c r="G144" s="333"/>
      <c r="H144" s="333"/>
    </row>
    <row r="145" spans="1:8" ht="18.75" x14ac:dyDescent="0.3">
      <c r="A145" s="332"/>
      <c r="B145" s="332"/>
      <c r="C145" s="333"/>
      <c r="D145" s="333"/>
      <c r="E145" s="333"/>
      <c r="F145" s="334"/>
      <c r="G145" s="333"/>
      <c r="H145" s="333"/>
    </row>
    <row r="146" spans="1:8" ht="18.75" x14ac:dyDescent="0.3">
      <c r="A146" s="332"/>
      <c r="B146" s="332"/>
      <c r="C146" s="333"/>
      <c r="D146" s="333"/>
      <c r="E146" s="333"/>
      <c r="F146" s="334"/>
      <c r="G146" s="333"/>
      <c r="H146" s="333"/>
    </row>
    <row r="147" spans="1:8" ht="18.75" x14ac:dyDescent="0.3">
      <c r="A147" s="332"/>
      <c r="B147" s="332"/>
      <c r="C147" s="333"/>
      <c r="D147" s="333"/>
      <c r="E147" s="333"/>
      <c r="F147" s="334"/>
      <c r="G147" s="333"/>
      <c r="H147" s="333"/>
    </row>
    <row r="148" spans="1:8" ht="18.75" x14ac:dyDescent="0.3">
      <c r="A148" s="332"/>
      <c r="B148" s="332"/>
      <c r="C148" s="333"/>
      <c r="D148" s="333"/>
      <c r="E148" s="333"/>
      <c r="F148" s="334"/>
      <c r="G148" s="333"/>
      <c r="H148" s="333"/>
    </row>
    <row r="149" spans="1:8" ht="18.75" x14ac:dyDescent="0.3">
      <c r="A149" s="332"/>
      <c r="B149" s="332"/>
      <c r="C149" s="333"/>
      <c r="D149" s="333"/>
      <c r="E149" s="333"/>
      <c r="F149" s="334"/>
      <c r="G149" s="333"/>
      <c r="H149" s="333"/>
    </row>
    <row r="150" spans="1:8" ht="18.75" x14ac:dyDescent="0.3">
      <c r="A150" s="332"/>
      <c r="B150" s="332"/>
      <c r="C150" s="333"/>
      <c r="D150" s="333"/>
      <c r="E150" s="333"/>
      <c r="F150" s="334"/>
      <c r="G150" s="333"/>
      <c r="H150" s="333"/>
    </row>
    <row r="151" spans="1:8" ht="18.75" x14ac:dyDescent="0.3">
      <c r="A151" s="332"/>
      <c r="B151" s="332"/>
      <c r="C151" s="333"/>
      <c r="D151" s="333"/>
      <c r="E151" s="333"/>
      <c r="F151" s="334"/>
      <c r="G151" s="333"/>
      <c r="H151" s="3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9" zoomScale="55" zoomScaleNormal="40" zoomScalePageLayoutView="55" workbookViewId="0">
      <selection activeCell="G79" sqref="G7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5" t="s">
        <v>45</v>
      </c>
      <c r="B1" s="655"/>
      <c r="C1" s="655"/>
      <c r="D1" s="655"/>
      <c r="E1" s="655"/>
      <c r="F1" s="655"/>
      <c r="G1" s="655"/>
      <c r="H1" s="655"/>
      <c r="I1" s="655"/>
    </row>
    <row r="2" spans="1:9" ht="18.7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</row>
    <row r="3" spans="1:9" ht="18.75" customHeight="1" x14ac:dyDescent="0.25">
      <c r="A3" s="655"/>
      <c r="B3" s="655"/>
      <c r="C3" s="655"/>
      <c r="D3" s="655"/>
      <c r="E3" s="655"/>
      <c r="F3" s="655"/>
      <c r="G3" s="655"/>
      <c r="H3" s="655"/>
      <c r="I3" s="655"/>
    </row>
    <row r="4" spans="1:9" ht="18.75" customHeight="1" x14ac:dyDescent="0.25">
      <c r="A4" s="655"/>
      <c r="B4" s="655"/>
      <c r="C4" s="655"/>
      <c r="D4" s="655"/>
      <c r="E4" s="655"/>
      <c r="F4" s="655"/>
      <c r="G4" s="655"/>
      <c r="H4" s="655"/>
      <c r="I4" s="655"/>
    </row>
    <row r="5" spans="1:9" ht="18.75" customHeight="1" x14ac:dyDescent="0.25">
      <c r="A5" s="655"/>
      <c r="B5" s="655"/>
      <c r="C5" s="655"/>
      <c r="D5" s="655"/>
      <c r="E5" s="655"/>
      <c r="F5" s="655"/>
      <c r="G5" s="655"/>
      <c r="H5" s="655"/>
      <c r="I5" s="655"/>
    </row>
    <row r="6" spans="1:9" ht="18.75" customHeight="1" x14ac:dyDescent="0.25">
      <c r="A6" s="655"/>
      <c r="B6" s="655"/>
      <c r="C6" s="655"/>
      <c r="D6" s="655"/>
      <c r="E6" s="655"/>
      <c r="F6" s="655"/>
      <c r="G6" s="655"/>
      <c r="H6" s="655"/>
      <c r="I6" s="655"/>
    </row>
    <row r="7" spans="1:9" ht="18.75" customHeight="1" x14ac:dyDescent="0.25">
      <c r="A7" s="655"/>
      <c r="B7" s="655"/>
      <c r="C7" s="655"/>
      <c r="D7" s="655"/>
      <c r="E7" s="655"/>
      <c r="F7" s="655"/>
      <c r="G7" s="655"/>
      <c r="H7" s="655"/>
      <c r="I7" s="655"/>
    </row>
    <row r="8" spans="1:9" x14ac:dyDescent="0.25">
      <c r="A8" s="656" t="s">
        <v>46</v>
      </c>
      <c r="B8" s="656"/>
      <c r="C8" s="656"/>
      <c r="D8" s="656"/>
      <c r="E8" s="656"/>
      <c r="F8" s="656"/>
      <c r="G8" s="656"/>
      <c r="H8" s="656"/>
      <c r="I8" s="656"/>
    </row>
    <row r="9" spans="1:9" x14ac:dyDescent="0.25">
      <c r="A9" s="656"/>
      <c r="B9" s="656"/>
      <c r="C9" s="656"/>
      <c r="D9" s="656"/>
      <c r="E9" s="656"/>
      <c r="F9" s="656"/>
      <c r="G9" s="656"/>
      <c r="H9" s="656"/>
      <c r="I9" s="656"/>
    </row>
    <row r="10" spans="1:9" x14ac:dyDescent="0.25">
      <c r="A10" s="656"/>
      <c r="B10" s="656"/>
      <c r="C10" s="656"/>
      <c r="D10" s="656"/>
      <c r="E10" s="656"/>
      <c r="F10" s="656"/>
      <c r="G10" s="656"/>
      <c r="H10" s="656"/>
      <c r="I10" s="656"/>
    </row>
    <row r="11" spans="1:9" x14ac:dyDescent="0.25">
      <c r="A11" s="656"/>
      <c r="B11" s="656"/>
      <c r="C11" s="656"/>
      <c r="D11" s="656"/>
      <c r="E11" s="656"/>
      <c r="F11" s="656"/>
      <c r="G11" s="656"/>
      <c r="H11" s="656"/>
      <c r="I11" s="656"/>
    </row>
    <row r="12" spans="1:9" x14ac:dyDescent="0.25">
      <c r="A12" s="656"/>
      <c r="B12" s="656"/>
      <c r="C12" s="656"/>
      <c r="D12" s="656"/>
      <c r="E12" s="656"/>
      <c r="F12" s="656"/>
      <c r="G12" s="656"/>
      <c r="H12" s="656"/>
      <c r="I12" s="656"/>
    </row>
    <row r="13" spans="1:9" x14ac:dyDescent="0.25">
      <c r="A13" s="656"/>
      <c r="B13" s="656"/>
      <c r="C13" s="656"/>
      <c r="D13" s="656"/>
      <c r="E13" s="656"/>
      <c r="F13" s="656"/>
      <c r="G13" s="656"/>
      <c r="H13" s="656"/>
      <c r="I13" s="656"/>
    </row>
    <row r="14" spans="1:9" x14ac:dyDescent="0.25">
      <c r="A14" s="656"/>
      <c r="B14" s="656"/>
      <c r="C14" s="656"/>
      <c r="D14" s="656"/>
      <c r="E14" s="656"/>
      <c r="F14" s="656"/>
      <c r="G14" s="656"/>
      <c r="H14" s="656"/>
      <c r="I14" s="656"/>
    </row>
    <row r="15" spans="1:9" ht="19.5" customHeight="1" x14ac:dyDescent="0.3">
      <c r="A15" s="461"/>
    </row>
    <row r="16" spans="1:9" ht="19.5" customHeight="1" x14ac:dyDescent="0.3">
      <c r="A16" s="678" t="s">
        <v>31</v>
      </c>
      <c r="B16" s="679"/>
      <c r="C16" s="679"/>
      <c r="D16" s="679"/>
      <c r="E16" s="679"/>
      <c r="F16" s="679"/>
      <c r="G16" s="679"/>
      <c r="H16" s="696"/>
    </row>
    <row r="17" spans="1:14" ht="20.25" customHeight="1" x14ac:dyDescent="0.25">
      <c r="A17" s="697" t="s">
        <v>47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463" t="s">
        <v>33</v>
      </c>
      <c r="B18" s="695" t="s">
        <v>5</v>
      </c>
      <c r="C18" s="695"/>
      <c r="D18" s="633"/>
      <c r="E18" s="464"/>
      <c r="F18" s="465"/>
      <c r="G18" s="465"/>
      <c r="H18" s="465"/>
    </row>
    <row r="19" spans="1:14" ht="26.25" customHeight="1" x14ac:dyDescent="0.4">
      <c r="A19" s="463" t="s">
        <v>34</v>
      </c>
      <c r="B19" s="466" t="s">
        <v>7</v>
      </c>
      <c r="C19" s="635">
        <v>21</v>
      </c>
      <c r="D19" s="465"/>
      <c r="E19" s="465"/>
      <c r="F19" s="465"/>
      <c r="G19" s="465"/>
      <c r="H19" s="465"/>
    </row>
    <row r="20" spans="1:14" ht="26.25" customHeight="1" x14ac:dyDescent="0.4">
      <c r="A20" s="463" t="s">
        <v>35</v>
      </c>
      <c r="B20" s="698" t="s">
        <v>9</v>
      </c>
      <c r="C20" s="698"/>
      <c r="D20" s="465"/>
      <c r="E20" s="465"/>
      <c r="F20" s="465"/>
      <c r="G20" s="465"/>
      <c r="H20" s="465"/>
    </row>
    <row r="21" spans="1:14" ht="26.25" customHeight="1" x14ac:dyDescent="0.4">
      <c r="A21" s="463" t="s">
        <v>36</v>
      </c>
      <c r="B21" s="698" t="s">
        <v>154</v>
      </c>
      <c r="C21" s="698"/>
      <c r="D21" s="698"/>
      <c r="E21" s="698"/>
      <c r="F21" s="698"/>
      <c r="G21" s="698"/>
      <c r="H21" s="698"/>
      <c r="I21" s="467"/>
    </row>
    <row r="22" spans="1:14" ht="26.25" customHeight="1" x14ac:dyDescent="0.4">
      <c r="A22" s="463" t="s">
        <v>37</v>
      </c>
      <c r="B22" s="468" t="s">
        <v>155</v>
      </c>
      <c r="C22" s="465"/>
      <c r="D22" s="465"/>
      <c r="E22" s="465"/>
      <c r="F22" s="465"/>
      <c r="G22" s="465"/>
      <c r="H22" s="465"/>
    </row>
    <row r="23" spans="1:14" ht="26.25" customHeight="1" x14ac:dyDescent="0.4">
      <c r="A23" s="463" t="s">
        <v>38</v>
      </c>
      <c r="B23" s="468" t="s">
        <v>156</v>
      </c>
      <c r="C23" s="465"/>
      <c r="D23" s="465"/>
      <c r="E23" s="465"/>
      <c r="F23" s="465"/>
      <c r="G23" s="465"/>
      <c r="H23" s="465"/>
    </row>
    <row r="24" spans="1:14" ht="18.75" x14ac:dyDescent="0.3">
      <c r="A24" s="463"/>
      <c r="B24" s="469"/>
    </row>
    <row r="25" spans="1:14" ht="18.75" x14ac:dyDescent="0.3">
      <c r="A25" s="470" t="s">
        <v>1</v>
      </c>
      <c r="B25" s="469"/>
    </row>
    <row r="26" spans="1:14" ht="26.25" customHeight="1" x14ac:dyDescent="0.4">
      <c r="A26" s="471" t="s">
        <v>4</v>
      </c>
      <c r="B26" s="695" t="s">
        <v>9</v>
      </c>
      <c r="C26" s="695"/>
    </row>
    <row r="27" spans="1:14" ht="26.25" customHeight="1" x14ac:dyDescent="0.4">
      <c r="A27" s="472" t="s">
        <v>48</v>
      </c>
      <c r="B27" s="672" t="s">
        <v>157</v>
      </c>
      <c r="C27" s="672"/>
    </row>
    <row r="28" spans="1:14" ht="27" customHeight="1" x14ac:dyDescent="0.4">
      <c r="A28" s="472" t="s">
        <v>6</v>
      </c>
      <c r="B28" s="473">
        <v>99.9</v>
      </c>
    </row>
    <row r="29" spans="1:14" s="14" customFormat="1" ht="27" customHeight="1" x14ac:dyDescent="0.4">
      <c r="A29" s="472" t="s">
        <v>49</v>
      </c>
      <c r="B29" s="474">
        <v>0</v>
      </c>
      <c r="C29" s="673" t="s">
        <v>106</v>
      </c>
      <c r="D29" s="674"/>
      <c r="E29" s="674"/>
      <c r="F29" s="674"/>
      <c r="G29" s="675"/>
      <c r="I29" s="475"/>
      <c r="J29" s="475"/>
      <c r="K29" s="475"/>
      <c r="L29" s="475"/>
    </row>
    <row r="30" spans="1:14" s="14" customFormat="1" ht="19.5" customHeight="1" x14ac:dyDescent="0.3">
      <c r="A30" s="472" t="s">
        <v>51</v>
      </c>
      <c r="B30" s="476">
        <f>B28-B29</f>
        <v>99.9</v>
      </c>
      <c r="C30" s="477"/>
      <c r="D30" s="477"/>
      <c r="E30" s="477"/>
      <c r="F30" s="477"/>
      <c r="G30" s="478"/>
      <c r="I30" s="475"/>
      <c r="J30" s="475"/>
      <c r="K30" s="475"/>
      <c r="L30" s="475"/>
    </row>
    <row r="31" spans="1:14" s="14" customFormat="1" ht="27" customHeight="1" x14ac:dyDescent="0.4">
      <c r="A31" s="472" t="s">
        <v>52</v>
      </c>
      <c r="B31" s="479">
        <v>1</v>
      </c>
      <c r="C31" s="658" t="s">
        <v>53</v>
      </c>
      <c r="D31" s="659"/>
      <c r="E31" s="659"/>
      <c r="F31" s="659"/>
      <c r="G31" s="659"/>
      <c r="H31" s="676"/>
      <c r="I31" s="475"/>
      <c r="J31" s="475"/>
      <c r="K31" s="475"/>
      <c r="L31" s="475"/>
    </row>
    <row r="32" spans="1:14" s="14" customFormat="1" ht="27" customHeight="1" x14ac:dyDescent="0.4">
      <c r="A32" s="472" t="s">
        <v>54</v>
      </c>
      <c r="B32" s="479">
        <v>1</v>
      </c>
      <c r="C32" s="658" t="s">
        <v>55</v>
      </c>
      <c r="D32" s="659"/>
      <c r="E32" s="659"/>
      <c r="F32" s="659"/>
      <c r="G32" s="659"/>
      <c r="H32" s="676"/>
      <c r="I32" s="475"/>
      <c r="J32" s="475"/>
      <c r="K32" s="475"/>
      <c r="L32" s="480"/>
      <c r="M32" s="480"/>
      <c r="N32" s="481"/>
    </row>
    <row r="33" spans="1:14" s="14" customFormat="1" ht="17.25" customHeight="1" x14ac:dyDescent="0.3">
      <c r="A33" s="472"/>
      <c r="B33" s="482"/>
      <c r="C33" s="483"/>
      <c r="D33" s="483"/>
      <c r="E33" s="483"/>
      <c r="F33" s="483"/>
      <c r="G33" s="483"/>
      <c r="H33" s="483"/>
      <c r="I33" s="475"/>
      <c r="J33" s="475"/>
      <c r="K33" s="475"/>
      <c r="L33" s="480"/>
      <c r="M33" s="480"/>
      <c r="N33" s="481"/>
    </row>
    <row r="34" spans="1:14" s="14" customFormat="1" ht="18.75" x14ac:dyDescent="0.3">
      <c r="A34" s="472" t="s">
        <v>56</v>
      </c>
      <c r="B34" s="484">
        <f>B31/B32</f>
        <v>1</v>
      </c>
      <c r="C34" s="462" t="s">
        <v>57</v>
      </c>
      <c r="D34" s="462"/>
      <c r="E34" s="462"/>
      <c r="F34" s="462"/>
      <c r="G34" s="462"/>
      <c r="I34" s="475"/>
      <c r="J34" s="475"/>
      <c r="K34" s="475"/>
      <c r="L34" s="480"/>
      <c r="M34" s="480"/>
      <c r="N34" s="481"/>
    </row>
    <row r="35" spans="1:14" s="14" customFormat="1" ht="19.5" customHeight="1" x14ac:dyDescent="0.3">
      <c r="A35" s="472"/>
      <c r="B35" s="476"/>
      <c r="G35" s="462"/>
      <c r="I35" s="475"/>
      <c r="J35" s="475"/>
      <c r="K35" s="475"/>
      <c r="L35" s="480"/>
      <c r="M35" s="480"/>
      <c r="N35" s="481"/>
    </row>
    <row r="36" spans="1:14" s="14" customFormat="1" ht="27" customHeight="1" x14ac:dyDescent="0.4">
      <c r="A36" s="485" t="s">
        <v>141</v>
      </c>
      <c r="B36" s="486">
        <v>20</v>
      </c>
      <c r="C36" s="462"/>
      <c r="D36" s="660" t="s">
        <v>59</v>
      </c>
      <c r="E36" s="677"/>
      <c r="F36" s="660" t="s">
        <v>60</v>
      </c>
      <c r="G36" s="661"/>
      <c r="J36" s="475"/>
      <c r="K36" s="475"/>
      <c r="L36" s="480"/>
      <c r="M36" s="480"/>
      <c r="N36" s="481"/>
    </row>
    <row r="37" spans="1:14" s="14" customFormat="1" ht="27" customHeight="1" x14ac:dyDescent="0.4">
      <c r="A37" s="487" t="s">
        <v>61</v>
      </c>
      <c r="B37" s="488">
        <v>3</v>
      </c>
      <c r="C37" s="489" t="s">
        <v>62</v>
      </c>
      <c r="D37" s="490" t="s">
        <v>63</v>
      </c>
      <c r="E37" s="491" t="s">
        <v>64</v>
      </c>
      <c r="F37" s="490" t="s">
        <v>63</v>
      </c>
      <c r="G37" s="492" t="s">
        <v>64</v>
      </c>
      <c r="I37" s="493" t="s">
        <v>142</v>
      </c>
      <c r="J37" s="475"/>
      <c r="K37" s="475"/>
      <c r="L37" s="480"/>
      <c r="M37" s="480"/>
      <c r="N37" s="481"/>
    </row>
    <row r="38" spans="1:14" s="14" customFormat="1" ht="26.25" customHeight="1" x14ac:dyDescent="0.4">
      <c r="A38" s="487" t="s">
        <v>65</v>
      </c>
      <c r="B38" s="488">
        <v>25</v>
      </c>
      <c r="C38" s="494">
        <v>1</v>
      </c>
      <c r="D38" s="495">
        <v>35600905</v>
      </c>
      <c r="E38" s="496">
        <f>IF(ISBLANK(D38),"-",$D$48/$D$45*D38)</f>
        <v>35665073.600421883</v>
      </c>
      <c r="F38" s="495">
        <v>39474026</v>
      </c>
      <c r="G38" s="497">
        <f>IF(ISBLANK(F38),"-",$D$48/$F$45*F38)</f>
        <v>36505487.379471123</v>
      </c>
      <c r="I38" s="498"/>
      <c r="J38" s="475"/>
      <c r="K38" s="475"/>
      <c r="L38" s="480"/>
      <c r="M38" s="480"/>
      <c r="N38" s="481"/>
    </row>
    <row r="39" spans="1:14" s="14" customFormat="1" ht="26.25" customHeight="1" x14ac:dyDescent="0.4">
      <c r="A39" s="487" t="s">
        <v>66</v>
      </c>
      <c r="B39" s="488">
        <v>1</v>
      </c>
      <c r="C39" s="499">
        <v>2</v>
      </c>
      <c r="D39" s="500">
        <v>35731693</v>
      </c>
      <c r="E39" s="501">
        <f>IF(ISBLANK(D39),"-",$D$48/$D$45*D39)</f>
        <v>35796097.338331126</v>
      </c>
      <c r="F39" s="500">
        <v>39160896</v>
      </c>
      <c r="G39" s="502">
        <f>IF(ISBLANK(F39),"-",$D$48/$F$45*F39)</f>
        <v>36215905.484198175</v>
      </c>
      <c r="I39" s="699">
        <f>ABS((F43/D43*D42)-F42)/D42</f>
        <v>1.7424752581068594E-2</v>
      </c>
      <c r="J39" s="475"/>
      <c r="K39" s="475"/>
      <c r="L39" s="480"/>
      <c r="M39" s="480"/>
      <c r="N39" s="481"/>
    </row>
    <row r="40" spans="1:14" ht="26.25" customHeight="1" x14ac:dyDescent="0.4">
      <c r="A40" s="487" t="s">
        <v>67</v>
      </c>
      <c r="B40" s="488">
        <v>1</v>
      </c>
      <c r="C40" s="499">
        <v>3</v>
      </c>
      <c r="D40" s="500">
        <v>35746017</v>
      </c>
      <c r="E40" s="501">
        <f>IF(ISBLANK(D40),"-",$D$48/$D$45*D40)</f>
        <v>35810447.156524017</v>
      </c>
      <c r="F40" s="500">
        <v>39225585</v>
      </c>
      <c r="G40" s="502">
        <f>IF(ISBLANK(F40),"-",$D$48/$F$45*F40)</f>
        <v>36275729.720851675</v>
      </c>
      <c r="I40" s="699"/>
      <c r="L40" s="480"/>
      <c r="M40" s="480"/>
      <c r="N40" s="503"/>
    </row>
    <row r="41" spans="1:14" ht="27" customHeight="1" x14ac:dyDescent="0.4">
      <c r="A41" s="487" t="s">
        <v>68</v>
      </c>
      <c r="B41" s="488">
        <v>1</v>
      </c>
      <c r="C41" s="504">
        <v>4</v>
      </c>
      <c r="D41" s="505"/>
      <c r="E41" s="506" t="str">
        <f>IF(ISBLANK(D41),"-",$D$48/$D$45*D41)</f>
        <v>-</v>
      </c>
      <c r="F41" s="505"/>
      <c r="G41" s="507" t="str">
        <f>IF(ISBLANK(F41),"-",$D$48/$F$45*F41)</f>
        <v>-</v>
      </c>
      <c r="I41" s="508"/>
      <c r="L41" s="480"/>
      <c r="M41" s="480"/>
      <c r="N41" s="503"/>
    </row>
    <row r="42" spans="1:14" ht="27" customHeight="1" x14ac:dyDescent="0.4">
      <c r="A42" s="487" t="s">
        <v>69</v>
      </c>
      <c r="B42" s="488">
        <v>1</v>
      </c>
      <c r="C42" s="509" t="s">
        <v>70</v>
      </c>
      <c r="D42" s="510">
        <f>AVERAGE(D38:D41)</f>
        <v>35692871.666666664</v>
      </c>
      <c r="E42" s="511">
        <f>AVERAGE(E38:E41)</f>
        <v>35757206.031759009</v>
      </c>
      <c r="F42" s="510">
        <f>AVERAGE(F38:F41)</f>
        <v>39286835.666666664</v>
      </c>
      <c r="G42" s="512">
        <f>AVERAGE(G38:G41)</f>
        <v>36332374.194840327</v>
      </c>
      <c r="H42" s="513"/>
    </row>
    <row r="43" spans="1:14" ht="26.25" customHeight="1" x14ac:dyDescent="0.4">
      <c r="A43" s="487" t="s">
        <v>71</v>
      </c>
      <c r="B43" s="488">
        <v>1</v>
      </c>
      <c r="C43" s="514" t="s">
        <v>143</v>
      </c>
      <c r="D43" s="515">
        <v>24.98</v>
      </c>
      <c r="E43" s="503"/>
      <c r="F43" s="515">
        <v>27.06</v>
      </c>
      <c r="H43" s="513"/>
    </row>
    <row r="44" spans="1:14" ht="26.25" customHeight="1" x14ac:dyDescent="0.4">
      <c r="A44" s="487" t="s">
        <v>73</v>
      </c>
      <c r="B44" s="488">
        <v>1</v>
      </c>
      <c r="C44" s="516" t="s">
        <v>144</v>
      </c>
      <c r="D44" s="517">
        <f>D43*$B$34</f>
        <v>24.98</v>
      </c>
      <c r="E44" s="518"/>
      <c r="F44" s="517">
        <f>F43*$B$34</f>
        <v>27.06</v>
      </c>
      <c r="H44" s="513"/>
    </row>
    <row r="45" spans="1:14" ht="19.5" customHeight="1" x14ac:dyDescent="0.3">
      <c r="A45" s="487" t="s">
        <v>75</v>
      </c>
      <c r="B45" s="519">
        <f>(B44/B43)*(B42/B41)*(B40/B39)*(B38/B37)*B36</f>
        <v>166.66666666666669</v>
      </c>
      <c r="C45" s="516" t="s">
        <v>76</v>
      </c>
      <c r="D45" s="520">
        <f>D44*$B$30/100</f>
        <v>24.955020000000005</v>
      </c>
      <c r="E45" s="521"/>
      <c r="F45" s="520">
        <f>F44*$B$30/100</f>
        <v>27.03294</v>
      </c>
      <c r="H45" s="513"/>
    </row>
    <row r="46" spans="1:14" ht="19.5" customHeight="1" x14ac:dyDescent="0.3">
      <c r="A46" s="662" t="s">
        <v>77</v>
      </c>
      <c r="B46" s="663"/>
      <c r="C46" s="516" t="s">
        <v>78</v>
      </c>
      <c r="D46" s="522">
        <f>D45/$B$45</f>
        <v>0.14973012000000002</v>
      </c>
      <c r="E46" s="523"/>
      <c r="F46" s="524">
        <f>F45/$B$45</f>
        <v>0.16219763999999998</v>
      </c>
      <c r="H46" s="513"/>
    </row>
    <row r="47" spans="1:14" ht="27" customHeight="1" x14ac:dyDescent="0.4">
      <c r="A47" s="664"/>
      <c r="B47" s="665"/>
      <c r="C47" s="525" t="s">
        <v>145</v>
      </c>
      <c r="D47" s="526">
        <v>0.15</v>
      </c>
      <c r="E47" s="527"/>
      <c r="F47" s="523"/>
      <c r="H47" s="513"/>
    </row>
    <row r="48" spans="1:14" ht="18.75" x14ac:dyDescent="0.3">
      <c r="C48" s="528" t="s">
        <v>80</v>
      </c>
      <c r="D48" s="520">
        <f>D47*$B$45</f>
        <v>25.000000000000004</v>
      </c>
      <c r="F48" s="529"/>
      <c r="H48" s="513"/>
    </row>
    <row r="49" spans="1:12" ht="19.5" customHeight="1" x14ac:dyDescent="0.3">
      <c r="C49" s="530" t="s">
        <v>81</v>
      </c>
      <c r="D49" s="531">
        <f>D48/B34</f>
        <v>25.000000000000004</v>
      </c>
      <c r="F49" s="529"/>
      <c r="H49" s="513"/>
    </row>
    <row r="50" spans="1:12" ht="18.75" x14ac:dyDescent="0.3">
      <c r="C50" s="485" t="s">
        <v>82</v>
      </c>
      <c r="D50" s="532">
        <f>AVERAGE(E38:E41,G38:G41)</f>
        <v>36044790.113299668</v>
      </c>
      <c r="F50" s="533"/>
      <c r="H50" s="513"/>
    </row>
    <row r="51" spans="1:12" ht="18.75" x14ac:dyDescent="0.3">
      <c r="C51" s="487" t="s">
        <v>83</v>
      </c>
      <c r="D51" s="534">
        <f>STDEV(E38:E41,G38:G41)/D50</f>
        <v>9.2498284676528087E-3</v>
      </c>
      <c r="F51" s="533"/>
      <c r="H51" s="513"/>
    </row>
    <row r="52" spans="1:12" ht="19.5" customHeight="1" x14ac:dyDescent="0.3">
      <c r="C52" s="535" t="s">
        <v>20</v>
      </c>
      <c r="D52" s="536">
        <f>COUNT(E38:E41,G38:G41)</f>
        <v>6</v>
      </c>
      <c r="F52" s="533"/>
    </row>
    <row r="54" spans="1:12" ht="18.75" x14ac:dyDescent="0.3">
      <c r="A54" s="537" t="s">
        <v>1</v>
      </c>
      <c r="B54" s="538" t="s">
        <v>84</v>
      </c>
    </row>
    <row r="55" spans="1:12" ht="18.75" x14ac:dyDescent="0.3">
      <c r="A55" s="462" t="s">
        <v>85</v>
      </c>
      <c r="B55" s="539" t="str">
        <f>B21</f>
        <v>Each tablet contains 112.5 mg fluralaner</v>
      </c>
    </row>
    <row r="56" spans="1:12" ht="26.25" customHeight="1" x14ac:dyDescent="0.4">
      <c r="A56" s="540" t="s">
        <v>86</v>
      </c>
      <c r="B56" s="541">
        <v>112.5</v>
      </c>
      <c r="C56" s="462" t="str">
        <f>B20</f>
        <v>Fluralaner</v>
      </c>
      <c r="H56" s="542"/>
    </row>
    <row r="57" spans="1:12" ht="18.75" x14ac:dyDescent="0.3">
      <c r="A57" s="539" t="s">
        <v>87</v>
      </c>
      <c r="B57" s="634">
        <f>Uniformity!C46</f>
        <v>836.82</v>
      </c>
      <c r="H57" s="542"/>
    </row>
    <row r="58" spans="1:12" ht="19.5" customHeight="1" x14ac:dyDescent="0.3">
      <c r="H58" s="542"/>
    </row>
    <row r="59" spans="1:12" s="14" customFormat="1" ht="27" customHeight="1" x14ac:dyDescent="0.4">
      <c r="A59" s="485" t="s">
        <v>146</v>
      </c>
      <c r="B59" s="486">
        <v>100</v>
      </c>
      <c r="C59" s="462"/>
      <c r="D59" s="543" t="s">
        <v>129</v>
      </c>
      <c r="E59" s="544" t="s">
        <v>62</v>
      </c>
      <c r="F59" s="544" t="s">
        <v>63</v>
      </c>
      <c r="G59" s="544" t="s">
        <v>130</v>
      </c>
      <c r="H59" s="489" t="s">
        <v>131</v>
      </c>
      <c r="L59" s="475"/>
    </row>
    <row r="60" spans="1:12" s="14" customFormat="1" ht="26.25" customHeight="1" x14ac:dyDescent="0.4">
      <c r="A60" s="487" t="s">
        <v>147</v>
      </c>
      <c r="B60" s="488">
        <v>10</v>
      </c>
      <c r="C60" s="680" t="s">
        <v>132</v>
      </c>
      <c r="D60" s="684">
        <v>1137.94</v>
      </c>
      <c r="E60" s="545">
        <v>1</v>
      </c>
      <c r="F60" s="546">
        <v>36233786</v>
      </c>
      <c r="G60" s="636">
        <f>IF(ISBLANK(F60),"-",(F60/$D$50*$D$47*$B$68)*($B$57/$D$60))</f>
        <v>110.88560252911842</v>
      </c>
      <c r="H60" s="547">
        <f t="shared" ref="H60:H71" si="0">IF(ISBLANK(F60),"-",G60/$B$56)</f>
        <v>0.98564980025883031</v>
      </c>
      <c r="L60" s="475"/>
    </row>
    <row r="61" spans="1:12" s="14" customFormat="1" ht="26.25" customHeight="1" x14ac:dyDescent="0.4">
      <c r="A61" s="487" t="s">
        <v>114</v>
      </c>
      <c r="B61" s="488">
        <v>100</v>
      </c>
      <c r="C61" s="681"/>
      <c r="D61" s="685"/>
      <c r="E61" s="548">
        <v>2</v>
      </c>
      <c r="F61" s="500">
        <v>37027824</v>
      </c>
      <c r="G61" s="637">
        <f>IF(ISBLANK(F61),"-",(F61/$D$50*$D$47*$B$68)*($B$57/$D$60))</f>
        <v>113.31558271559456</v>
      </c>
      <c r="H61" s="549">
        <f t="shared" si="0"/>
        <v>1.0072496241386184</v>
      </c>
      <c r="L61" s="475"/>
    </row>
    <row r="62" spans="1:12" s="14" customFormat="1" ht="26.25" customHeight="1" x14ac:dyDescent="0.4">
      <c r="A62" s="487" t="s">
        <v>115</v>
      </c>
      <c r="B62" s="488">
        <v>1</v>
      </c>
      <c r="C62" s="681"/>
      <c r="D62" s="685"/>
      <c r="E62" s="548">
        <v>3</v>
      </c>
      <c r="F62" s="550">
        <v>36817485</v>
      </c>
      <c r="G62" s="637">
        <f>IF(ISBLANK(F62),"-",(F62/$D$50*$D$47*$B$68)*($B$57/$D$60))</f>
        <v>112.67188606323886</v>
      </c>
      <c r="H62" s="549">
        <f t="shared" si="0"/>
        <v>1.0015278761176787</v>
      </c>
      <c r="L62" s="475"/>
    </row>
    <row r="63" spans="1:12" ht="27" customHeight="1" x14ac:dyDescent="0.4">
      <c r="A63" s="487" t="s">
        <v>116</v>
      </c>
      <c r="B63" s="488">
        <v>1</v>
      </c>
      <c r="C63" s="682"/>
      <c r="D63" s="686"/>
      <c r="E63" s="551">
        <v>4</v>
      </c>
      <c r="F63" s="552"/>
      <c r="G63" s="637" t="str">
        <f>IF(ISBLANK(F63),"-",(F63/$D$50*$D$47*$B$68)*($B$57/$D$60))</f>
        <v>-</v>
      </c>
      <c r="H63" s="549" t="str">
        <f t="shared" si="0"/>
        <v>-</v>
      </c>
    </row>
    <row r="64" spans="1:12" ht="26.25" customHeight="1" x14ac:dyDescent="0.4">
      <c r="A64" s="487" t="s">
        <v>117</v>
      </c>
      <c r="B64" s="488">
        <v>1</v>
      </c>
      <c r="C64" s="680" t="s">
        <v>133</v>
      </c>
      <c r="D64" s="684">
        <v>1136.32</v>
      </c>
      <c r="E64" s="545">
        <v>1</v>
      </c>
      <c r="F64" s="546">
        <v>36156906</v>
      </c>
      <c r="G64" s="638">
        <f>IF(ISBLANK(F64),"-",(F64/$D$50*$D$47*$B$68)*($B$57/$D$64))</f>
        <v>110.80807721537974</v>
      </c>
      <c r="H64" s="553">
        <f t="shared" si="0"/>
        <v>0.98496068635893097</v>
      </c>
    </row>
    <row r="65" spans="1:8" ht="26.25" customHeight="1" x14ac:dyDescent="0.4">
      <c r="A65" s="487" t="s">
        <v>118</v>
      </c>
      <c r="B65" s="488">
        <v>1</v>
      </c>
      <c r="C65" s="681"/>
      <c r="D65" s="685"/>
      <c r="E65" s="548">
        <v>2</v>
      </c>
      <c r="F65" s="500">
        <v>37066751</v>
      </c>
      <c r="G65" s="639">
        <f>IF(ISBLANK(F65),"-",(F65/$D$50*$D$47*$B$68)*($B$57/$D$64))</f>
        <v>113.59642904542925</v>
      </c>
      <c r="H65" s="554">
        <f t="shared" si="0"/>
        <v>1.0097460359593711</v>
      </c>
    </row>
    <row r="66" spans="1:8" ht="26.25" customHeight="1" x14ac:dyDescent="0.4">
      <c r="A66" s="487" t="s">
        <v>119</v>
      </c>
      <c r="B66" s="488">
        <v>1</v>
      </c>
      <c r="C66" s="681"/>
      <c r="D66" s="685"/>
      <c r="E66" s="548">
        <v>3</v>
      </c>
      <c r="F66" s="500">
        <v>36928723</v>
      </c>
      <c r="G66" s="639">
        <f>IF(ISBLANK(F66),"-",(F66/$D$50*$D$47*$B$68)*($B$57/$D$64))</f>
        <v>113.17342224053603</v>
      </c>
      <c r="H66" s="554">
        <f t="shared" si="0"/>
        <v>1.0059859754714313</v>
      </c>
    </row>
    <row r="67" spans="1:8" ht="27" customHeight="1" x14ac:dyDescent="0.4">
      <c r="A67" s="487" t="s">
        <v>120</v>
      </c>
      <c r="B67" s="488">
        <v>1</v>
      </c>
      <c r="C67" s="682"/>
      <c r="D67" s="686"/>
      <c r="E67" s="551">
        <v>4</v>
      </c>
      <c r="F67" s="552"/>
      <c r="G67" s="640" t="str">
        <f>IF(ISBLANK(F67),"-",(F67/$D$50*$D$47*$B$68)*($B$57/$D$64))</f>
        <v>-</v>
      </c>
      <c r="H67" s="555" t="str">
        <f t="shared" si="0"/>
        <v>-</v>
      </c>
    </row>
    <row r="68" spans="1:8" ht="26.25" customHeight="1" x14ac:dyDescent="0.4">
      <c r="A68" s="487" t="s">
        <v>121</v>
      </c>
      <c r="B68" s="556">
        <f>(B67/B66)*(B65/B64)*(B63/B62)*(B61/B60)*B59</f>
        <v>1000</v>
      </c>
      <c r="C68" s="680" t="s">
        <v>134</v>
      </c>
      <c r="D68" s="684">
        <v>1136.29</v>
      </c>
      <c r="E68" s="545">
        <v>1</v>
      </c>
      <c r="F68" s="546">
        <v>36904479</v>
      </c>
      <c r="G68" s="638">
        <f>IF(ISBLANK(F68),"-",(F68/$D$50*$D$47*$B$68)*($B$57/$D$68))</f>
        <v>113.10210900016038</v>
      </c>
      <c r="H68" s="549">
        <f t="shared" si="0"/>
        <v>1.0053520800014257</v>
      </c>
    </row>
    <row r="69" spans="1:8" ht="27" customHeight="1" x14ac:dyDescent="0.4">
      <c r="A69" s="535" t="s">
        <v>135</v>
      </c>
      <c r="B69" s="557">
        <f>(D47*B68)/B56*B57</f>
        <v>1115.76</v>
      </c>
      <c r="C69" s="681"/>
      <c r="D69" s="685"/>
      <c r="E69" s="548">
        <v>2</v>
      </c>
      <c r="F69" s="500">
        <v>37597212</v>
      </c>
      <c r="G69" s="639">
        <f>IF(ISBLANK(F69),"-",(F69/$D$50*$D$47*$B$68)*($B$57/$D$68))</f>
        <v>115.22514569914775</v>
      </c>
      <c r="H69" s="549">
        <f t="shared" si="0"/>
        <v>1.0242235173257577</v>
      </c>
    </row>
    <row r="70" spans="1:8" ht="26.25" customHeight="1" x14ac:dyDescent="0.4">
      <c r="A70" s="687" t="s">
        <v>77</v>
      </c>
      <c r="B70" s="688"/>
      <c r="C70" s="681"/>
      <c r="D70" s="685"/>
      <c r="E70" s="548">
        <v>3</v>
      </c>
      <c r="F70" s="500">
        <v>37599077</v>
      </c>
      <c r="G70" s="639">
        <f>IF(ISBLANK(F70),"-",(F70/$D$50*$D$47*$B$68)*($B$57/$D$68))</f>
        <v>115.23086141276846</v>
      </c>
      <c r="H70" s="549">
        <f t="shared" si="0"/>
        <v>1.024274323669053</v>
      </c>
    </row>
    <row r="71" spans="1:8" ht="27" customHeight="1" x14ac:dyDescent="0.4">
      <c r="A71" s="689"/>
      <c r="B71" s="690"/>
      <c r="C71" s="683"/>
      <c r="D71" s="686"/>
      <c r="E71" s="551">
        <v>4</v>
      </c>
      <c r="F71" s="552"/>
      <c r="G71" s="640" t="str">
        <f>IF(ISBLANK(F71),"-",(F71/$D$50*$D$47*$B$68)*($B$57/$D$68))</f>
        <v>-</v>
      </c>
      <c r="H71" s="558" t="str">
        <f t="shared" si="0"/>
        <v>-</v>
      </c>
    </row>
    <row r="72" spans="1:8" ht="26.25" customHeight="1" x14ac:dyDescent="0.4">
      <c r="A72" s="559"/>
      <c r="B72" s="559"/>
      <c r="C72" s="559"/>
      <c r="D72" s="559"/>
      <c r="E72" s="559"/>
      <c r="F72" s="560"/>
      <c r="G72" s="561" t="s">
        <v>70</v>
      </c>
      <c r="H72" s="562">
        <f>AVERAGE(H60:H71)</f>
        <v>1.0054411021445664</v>
      </c>
    </row>
    <row r="73" spans="1:8" ht="26.25" customHeight="1" x14ac:dyDescent="0.4">
      <c r="C73" s="559"/>
      <c r="D73" s="559"/>
      <c r="E73" s="559"/>
      <c r="F73" s="560"/>
      <c r="G73" s="563" t="s">
        <v>83</v>
      </c>
      <c r="H73" s="641">
        <f>STDEV(H60:H71)/H72</f>
        <v>1.3871003476523272E-2</v>
      </c>
    </row>
    <row r="74" spans="1:8" ht="27" customHeight="1" x14ac:dyDescent="0.4">
      <c r="A74" s="559"/>
      <c r="B74" s="559"/>
      <c r="C74" s="560"/>
      <c r="D74" s="560"/>
      <c r="E74" s="564"/>
      <c r="F74" s="560"/>
      <c r="G74" s="565" t="s">
        <v>20</v>
      </c>
      <c r="H74" s="566">
        <f>COUNT(H60:H71)</f>
        <v>9</v>
      </c>
    </row>
    <row r="76" spans="1:8" ht="26.25" customHeight="1" x14ac:dyDescent="0.4">
      <c r="A76" s="471" t="s">
        <v>148</v>
      </c>
      <c r="B76" s="567" t="s">
        <v>96</v>
      </c>
      <c r="C76" s="666" t="str">
        <f>B20</f>
        <v>Fluralaner</v>
      </c>
      <c r="D76" s="666"/>
      <c r="E76" s="568" t="s">
        <v>97</v>
      </c>
      <c r="F76" s="568"/>
      <c r="G76" s="569">
        <f>H72</f>
        <v>1.0054411021445664</v>
      </c>
      <c r="H76" s="570"/>
    </row>
    <row r="77" spans="1:8" ht="18.75" x14ac:dyDescent="0.3">
      <c r="A77" s="470" t="s">
        <v>104</v>
      </c>
      <c r="B77" s="470" t="s">
        <v>105</v>
      </c>
    </row>
    <row r="78" spans="1:8" ht="18.75" x14ac:dyDescent="0.3">
      <c r="A78" s="470"/>
      <c r="B78" s="470"/>
    </row>
    <row r="79" spans="1:8" ht="26.25" customHeight="1" x14ac:dyDescent="0.4">
      <c r="A79" s="471" t="s">
        <v>4</v>
      </c>
      <c r="B79" s="671" t="str">
        <f>B26</f>
        <v>Fluralaner</v>
      </c>
      <c r="C79" s="671"/>
    </row>
    <row r="80" spans="1:8" ht="26.25" customHeight="1" x14ac:dyDescent="0.4">
      <c r="A80" s="472" t="s">
        <v>48</v>
      </c>
      <c r="B80" s="671" t="str">
        <f>B27</f>
        <v>F15 - 1</v>
      </c>
      <c r="C80" s="671"/>
    </row>
    <row r="81" spans="1:12" ht="27" customHeight="1" x14ac:dyDescent="0.4">
      <c r="A81" s="472" t="s">
        <v>6</v>
      </c>
      <c r="B81" s="571">
        <f>B28</f>
        <v>99.9</v>
      </c>
    </row>
    <row r="82" spans="1:12" s="14" customFormat="1" ht="27" customHeight="1" x14ac:dyDescent="0.4">
      <c r="A82" s="472" t="s">
        <v>49</v>
      </c>
      <c r="B82" s="474">
        <v>0</v>
      </c>
      <c r="C82" s="673" t="s">
        <v>106</v>
      </c>
      <c r="D82" s="674"/>
      <c r="E82" s="674"/>
      <c r="F82" s="674"/>
      <c r="G82" s="675"/>
      <c r="I82" s="475"/>
      <c r="J82" s="475"/>
      <c r="K82" s="475"/>
      <c r="L82" s="475"/>
    </row>
    <row r="83" spans="1:12" s="14" customFormat="1" ht="19.5" customHeight="1" x14ac:dyDescent="0.3">
      <c r="A83" s="472" t="s">
        <v>51</v>
      </c>
      <c r="B83" s="476">
        <f>B81-B82</f>
        <v>99.9</v>
      </c>
      <c r="C83" s="477"/>
      <c r="D83" s="477"/>
      <c r="E83" s="477"/>
      <c r="F83" s="477"/>
      <c r="G83" s="478"/>
      <c r="I83" s="475"/>
      <c r="J83" s="475"/>
      <c r="K83" s="475"/>
      <c r="L83" s="475"/>
    </row>
    <row r="84" spans="1:12" s="14" customFormat="1" ht="27" customHeight="1" x14ac:dyDescent="0.4">
      <c r="A84" s="472" t="s">
        <v>52</v>
      </c>
      <c r="B84" s="479">
        <v>154.46</v>
      </c>
      <c r="C84" s="658" t="s">
        <v>149</v>
      </c>
      <c r="D84" s="659"/>
      <c r="E84" s="659"/>
      <c r="F84" s="659"/>
      <c r="G84" s="659"/>
      <c r="H84" s="676"/>
      <c r="I84" s="475"/>
      <c r="J84" s="475"/>
      <c r="K84" s="475"/>
      <c r="L84" s="475"/>
    </row>
    <row r="85" spans="1:12" s="14" customFormat="1" ht="27" customHeight="1" x14ac:dyDescent="0.4">
      <c r="A85" s="472" t="s">
        <v>54</v>
      </c>
      <c r="B85" s="479">
        <v>165.23</v>
      </c>
      <c r="C85" s="658" t="s">
        <v>150</v>
      </c>
      <c r="D85" s="659"/>
      <c r="E85" s="659"/>
      <c r="F85" s="659"/>
      <c r="G85" s="659"/>
      <c r="H85" s="676"/>
      <c r="I85" s="475"/>
      <c r="J85" s="475"/>
      <c r="K85" s="475"/>
      <c r="L85" s="475"/>
    </row>
    <row r="86" spans="1:12" s="14" customFormat="1" ht="18.75" x14ac:dyDescent="0.3">
      <c r="A86" s="472"/>
      <c r="B86" s="482"/>
      <c r="C86" s="483"/>
      <c r="D86" s="483"/>
      <c r="E86" s="483"/>
      <c r="F86" s="483"/>
      <c r="G86" s="483"/>
      <c r="H86" s="483"/>
      <c r="I86" s="475"/>
      <c r="J86" s="475"/>
      <c r="K86" s="475"/>
      <c r="L86" s="475"/>
    </row>
    <row r="87" spans="1:12" s="14" customFormat="1" ht="18.75" x14ac:dyDescent="0.3">
      <c r="A87" s="472" t="s">
        <v>56</v>
      </c>
      <c r="B87" s="484">
        <f>B84/B85</f>
        <v>0.93481813230042976</v>
      </c>
      <c r="C87" s="462" t="s">
        <v>57</v>
      </c>
      <c r="D87" s="462"/>
      <c r="E87" s="462"/>
      <c r="F87" s="462"/>
      <c r="G87" s="462"/>
      <c r="I87" s="475"/>
      <c r="J87" s="475"/>
      <c r="K87" s="475"/>
      <c r="L87" s="475"/>
    </row>
    <row r="88" spans="1:12" ht="19.5" customHeight="1" x14ac:dyDescent="0.3">
      <c r="A88" s="470"/>
      <c r="B88" s="470"/>
    </row>
    <row r="89" spans="1:12" ht="27" customHeight="1" x14ac:dyDescent="0.4">
      <c r="A89" s="485" t="s">
        <v>141</v>
      </c>
      <c r="B89" s="486">
        <v>25</v>
      </c>
      <c r="D89" s="572" t="s">
        <v>59</v>
      </c>
      <c r="E89" s="573"/>
      <c r="F89" s="660" t="s">
        <v>60</v>
      </c>
      <c r="G89" s="661"/>
    </row>
    <row r="90" spans="1:12" ht="27" customHeight="1" x14ac:dyDescent="0.4">
      <c r="A90" s="487" t="s">
        <v>61</v>
      </c>
      <c r="B90" s="488">
        <v>4</v>
      </c>
      <c r="C90" s="574" t="s">
        <v>62</v>
      </c>
      <c r="D90" s="490" t="s">
        <v>63</v>
      </c>
      <c r="E90" s="491" t="s">
        <v>64</v>
      </c>
      <c r="F90" s="490" t="s">
        <v>63</v>
      </c>
      <c r="G90" s="575" t="s">
        <v>64</v>
      </c>
      <c r="I90" s="493" t="s">
        <v>142</v>
      </c>
    </row>
    <row r="91" spans="1:12" ht="26.25" customHeight="1" x14ac:dyDescent="0.4">
      <c r="A91" s="487" t="s">
        <v>65</v>
      </c>
      <c r="B91" s="488">
        <v>200</v>
      </c>
      <c r="C91" s="576">
        <v>1</v>
      </c>
      <c r="D91" s="495">
        <v>52522362</v>
      </c>
      <c r="E91" s="496">
        <f>IF(ISBLANK(D91),"-",$D$101/$D$98*D91)</f>
        <v>34982595.124435373</v>
      </c>
      <c r="F91" s="495">
        <v>53289728</v>
      </c>
      <c r="G91" s="497">
        <f>IF(ISBLANK(F91),"-",$D$101/$F$98*F91)</f>
        <v>34585017.571355909</v>
      </c>
      <c r="I91" s="498"/>
    </row>
    <row r="92" spans="1:12" ht="26.25" customHeight="1" x14ac:dyDescent="0.4">
      <c r="A92" s="487" t="s">
        <v>66</v>
      </c>
      <c r="B92" s="488">
        <v>1</v>
      </c>
      <c r="C92" s="560">
        <v>2</v>
      </c>
      <c r="D92" s="500">
        <v>52553125</v>
      </c>
      <c r="E92" s="501">
        <f>IF(ISBLANK(D92),"-",$D$101/$D$98*D92)</f>
        <v>35003084.86504934</v>
      </c>
      <c r="F92" s="500">
        <v>53121237</v>
      </c>
      <c r="G92" s="502">
        <f>IF(ISBLANK(F92),"-",$D$101/$F$98*F92)</f>
        <v>34475666.962630428</v>
      </c>
      <c r="I92" s="699">
        <f>ABS((F96/D96*D95)-F95)/D95</f>
        <v>9.1663928758481394E-3</v>
      </c>
    </row>
    <row r="93" spans="1:12" ht="26.25" customHeight="1" x14ac:dyDescent="0.4">
      <c r="A93" s="487" t="s">
        <v>67</v>
      </c>
      <c r="B93" s="488">
        <v>1</v>
      </c>
      <c r="C93" s="560">
        <v>3</v>
      </c>
      <c r="D93" s="500">
        <v>52565096</v>
      </c>
      <c r="E93" s="501">
        <f>IF(ISBLANK(D93),"-",$D$101/$D$98*D93)</f>
        <v>35011058.166901886</v>
      </c>
      <c r="F93" s="500">
        <v>54057613</v>
      </c>
      <c r="G93" s="502">
        <f>IF(ISBLANK(F93),"-",$D$101/$F$98*F93)</f>
        <v>35083374.707233593</v>
      </c>
      <c r="I93" s="699"/>
    </row>
    <row r="94" spans="1:12" ht="27" customHeight="1" x14ac:dyDescent="0.4">
      <c r="A94" s="487" t="s">
        <v>68</v>
      </c>
      <c r="B94" s="488">
        <v>1</v>
      </c>
      <c r="C94" s="577">
        <v>4</v>
      </c>
      <c r="D94" s="505">
        <v>52522362</v>
      </c>
      <c r="E94" s="506">
        <f>IF(ISBLANK(D94),"-",$D$101/$D$98*D94)</f>
        <v>34982595.124435373</v>
      </c>
      <c r="F94" s="578">
        <v>53289728</v>
      </c>
      <c r="G94" s="507">
        <f>IF(ISBLANK(F94),"-",$D$101/$F$98*F94)</f>
        <v>34585017.571355909</v>
      </c>
      <c r="I94" s="508"/>
    </row>
    <row r="95" spans="1:12" ht="27" customHeight="1" x14ac:dyDescent="0.4">
      <c r="A95" s="487" t="s">
        <v>69</v>
      </c>
      <c r="B95" s="488">
        <v>1</v>
      </c>
      <c r="C95" s="579" t="s">
        <v>70</v>
      </c>
      <c r="D95" s="580">
        <f>AVERAGE(D91:D94)</f>
        <v>52540736.25</v>
      </c>
      <c r="E95" s="511">
        <f>AVERAGE(E91:E94)</f>
        <v>34994833.320205495</v>
      </c>
      <c r="F95" s="581">
        <f>AVERAGE(F91:F94)</f>
        <v>53439576.5</v>
      </c>
      <c r="G95" s="582">
        <f>AVERAGE(G91:G94)</f>
        <v>34682269.203143954</v>
      </c>
    </row>
    <row r="96" spans="1:12" ht="26.25" customHeight="1" x14ac:dyDescent="0.4">
      <c r="A96" s="487" t="s">
        <v>71</v>
      </c>
      <c r="B96" s="473">
        <v>1</v>
      </c>
      <c r="C96" s="583" t="s">
        <v>72</v>
      </c>
      <c r="D96" s="584">
        <v>25.12</v>
      </c>
      <c r="E96" s="503"/>
      <c r="F96" s="515">
        <v>25.78</v>
      </c>
    </row>
    <row r="97" spans="1:10" ht="26.25" customHeight="1" x14ac:dyDescent="0.4">
      <c r="A97" s="487" t="s">
        <v>73</v>
      </c>
      <c r="B97" s="473">
        <v>1</v>
      </c>
      <c r="C97" s="585" t="s">
        <v>74</v>
      </c>
      <c r="D97" s="586">
        <f>D96*$B$87</f>
        <v>23.482631483386797</v>
      </c>
      <c r="E97" s="518"/>
      <c r="F97" s="517">
        <f>F96*$B$87</f>
        <v>24.09961145070508</v>
      </c>
    </row>
    <row r="98" spans="1:10" ht="19.5" customHeight="1" x14ac:dyDescent="0.3">
      <c r="A98" s="487" t="s">
        <v>75</v>
      </c>
      <c r="B98" s="587">
        <f>(B97/B96)*(B95/B94)*(B93/B92)*(B91/B90)*B89</f>
        <v>1250</v>
      </c>
      <c r="C98" s="585" t="s">
        <v>151</v>
      </c>
      <c r="D98" s="588">
        <f>D97*$B$83/100</f>
        <v>23.459148851903411</v>
      </c>
      <c r="E98" s="521"/>
      <c r="F98" s="520">
        <f>F97*$B$83/100</f>
        <v>24.075511839254379</v>
      </c>
    </row>
    <row r="99" spans="1:10" ht="19.5" customHeight="1" x14ac:dyDescent="0.3">
      <c r="A99" s="662" t="s">
        <v>77</v>
      </c>
      <c r="B99" s="667"/>
      <c r="C99" s="585" t="s">
        <v>152</v>
      </c>
      <c r="D99" s="589">
        <f>D98/$B$98</f>
        <v>1.8767319081522727E-2</v>
      </c>
      <c r="E99" s="521"/>
      <c r="F99" s="524">
        <f>F98/$B$98</f>
        <v>1.9260409471403502E-2</v>
      </c>
      <c r="G99" s="590"/>
      <c r="H99" s="513"/>
    </row>
    <row r="100" spans="1:10" ht="19.5" customHeight="1" x14ac:dyDescent="0.3">
      <c r="A100" s="664"/>
      <c r="B100" s="668"/>
      <c r="C100" s="585" t="s">
        <v>145</v>
      </c>
      <c r="D100" s="591">
        <f>$B$56/$B$116</f>
        <v>1.2500000000000001E-2</v>
      </c>
      <c r="F100" s="529"/>
      <c r="G100" s="592"/>
      <c r="H100" s="513"/>
    </row>
    <row r="101" spans="1:10" ht="18.75" x14ac:dyDescent="0.3">
      <c r="C101" s="585" t="s">
        <v>80</v>
      </c>
      <c r="D101" s="586">
        <f>D100*$B$98</f>
        <v>15.625</v>
      </c>
      <c r="F101" s="529"/>
      <c r="G101" s="590"/>
      <c r="H101" s="513"/>
    </row>
    <row r="102" spans="1:10" ht="19.5" customHeight="1" x14ac:dyDescent="0.3">
      <c r="C102" s="593" t="s">
        <v>81</v>
      </c>
      <c r="D102" s="594">
        <f>D101/B34</f>
        <v>15.625</v>
      </c>
      <c r="F102" s="533"/>
      <c r="G102" s="590"/>
      <c r="H102" s="513"/>
      <c r="J102" s="595"/>
    </row>
    <row r="103" spans="1:10" ht="18.75" x14ac:dyDescent="0.3">
      <c r="C103" s="596" t="s">
        <v>139</v>
      </c>
      <c r="D103" s="597">
        <f>AVERAGE(E91:E94,G91:G94)</f>
        <v>34838551.261674732</v>
      </c>
      <c r="F103" s="533"/>
      <c r="G103" s="598"/>
      <c r="H103" s="513"/>
      <c r="J103" s="599"/>
    </row>
    <row r="104" spans="1:10" ht="18.75" x14ac:dyDescent="0.3">
      <c r="C104" s="563" t="s">
        <v>83</v>
      </c>
      <c r="D104" s="600">
        <f>STDEV(E91:E94,G91:G94)/D103</f>
        <v>7.0184870796218442E-3</v>
      </c>
      <c r="F104" s="533"/>
      <c r="G104" s="590"/>
      <c r="H104" s="513"/>
      <c r="J104" s="599"/>
    </row>
    <row r="105" spans="1:10" ht="19.5" customHeight="1" x14ac:dyDescent="0.3">
      <c r="C105" s="565" t="s">
        <v>20</v>
      </c>
      <c r="D105" s="601">
        <f>COUNT(E91:E94,G91:G94)</f>
        <v>8</v>
      </c>
      <c r="F105" s="533"/>
      <c r="G105" s="590"/>
      <c r="H105" s="513"/>
      <c r="J105" s="599"/>
    </row>
    <row r="106" spans="1:10" ht="19.5" customHeight="1" x14ac:dyDescent="0.3">
      <c r="A106" s="537"/>
      <c r="B106" s="537"/>
      <c r="C106" s="537"/>
      <c r="D106" s="537"/>
      <c r="E106" s="537"/>
    </row>
    <row r="107" spans="1:10" ht="26.25" customHeight="1" x14ac:dyDescent="0.4">
      <c r="A107" s="485" t="s">
        <v>109</v>
      </c>
      <c r="B107" s="486">
        <v>900</v>
      </c>
      <c r="C107" s="602" t="s">
        <v>153</v>
      </c>
      <c r="D107" s="603" t="s">
        <v>63</v>
      </c>
      <c r="E107" s="604" t="s">
        <v>111</v>
      </c>
      <c r="F107" s="605" t="s">
        <v>112</v>
      </c>
    </row>
    <row r="108" spans="1:10" ht="26.25" customHeight="1" x14ac:dyDescent="0.4">
      <c r="A108" s="487" t="s">
        <v>113</v>
      </c>
      <c r="B108" s="488">
        <v>5</v>
      </c>
      <c r="C108" s="606">
        <v>1</v>
      </c>
      <c r="D108" s="607">
        <v>87619284</v>
      </c>
      <c r="E108" s="642">
        <f t="shared" ref="E108:E113" si="1">IF(ISBLANK(D108),"-",D108/$D$103*$D$100*$B$116)</f>
        <v>282.93855780517765</v>
      </c>
      <c r="F108" s="608">
        <f t="shared" ref="F108:F113" si="2">IF(ISBLANK(D108), "-", E108/$B$56)</f>
        <v>2.5150094027126904</v>
      </c>
    </row>
    <row r="109" spans="1:10" ht="26.25" customHeight="1" x14ac:dyDescent="0.4">
      <c r="A109" s="487" t="s">
        <v>114</v>
      </c>
      <c r="B109" s="488">
        <v>50</v>
      </c>
      <c r="C109" s="606">
        <v>2</v>
      </c>
      <c r="D109" s="607">
        <v>87231228</v>
      </c>
      <c r="E109" s="643">
        <f t="shared" si="1"/>
        <v>281.68545460716877</v>
      </c>
      <c r="F109" s="609">
        <f t="shared" si="2"/>
        <v>2.5038707076192779</v>
      </c>
    </row>
    <row r="110" spans="1:10" ht="26.25" customHeight="1" x14ac:dyDescent="0.4">
      <c r="A110" s="487" t="s">
        <v>115</v>
      </c>
      <c r="B110" s="488">
        <v>1</v>
      </c>
      <c r="C110" s="606">
        <v>3</v>
      </c>
      <c r="D110" s="607">
        <v>87224653</v>
      </c>
      <c r="E110" s="643">
        <f t="shared" si="1"/>
        <v>281.66422273979163</v>
      </c>
      <c r="F110" s="609">
        <f t="shared" si="2"/>
        <v>2.5036819799092589</v>
      </c>
    </row>
    <row r="111" spans="1:10" ht="26.25" customHeight="1" x14ac:dyDescent="0.4">
      <c r="A111" s="487" t="s">
        <v>116</v>
      </c>
      <c r="B111" s="488">
        <v>1</v>
      </c>
      <c r="C111" s="606">
        <v>4</v>
      </c>
      <c r="D111" s="607">
        <v>86491264</v>
      </c>
      <c r="E111" s="643">
        <f t="shared" si="1"/>
        <v>279.29597665859586</v>
      </c>
      <c r="F111" s="609">
        <f t="shared" si="2"/>
        <v>2.4826309036319634</v>
      </c>
    </row>
    <row r="112" spans="1:10" ht="26.25" customHeight="1" x14ac:dyDescent="0.4">
      <c r="A112" s="487" t="s">
        <v>117</v>
      </c>
      <c r="B112" s="488">
        <v>1</v>
      </c>
      <c r="C112" s="606">
        <v>5</v>
      </c>
      <c r="D112" s="607">
        <v>88080316</v>
      </c>
      <c r="E112" s="643">
        <f t="shared" si="1"/>
        <v>284.42731374139413</v>
      </c>
      <c r="F112" s="609">
        <f t="shared" si="2"/>
        <v>2.5282427888123924</v>
      </c>
    </row>
    <row r="113" spans="1:10" ht="26.25" customHeight="1" x14ac:dyDescent="0.4">
      <c r="A113" s="487" t="s">
        <v>118</v>
      </c>
      <c r="B113" s="488">
        <v>1</v>
      </c>
      <c r="C113" s="610">
        <v>6</v>
      </c>
      <c r="D113" s="611">
        <v>87568449</v>
      </c>
      <c r="E113" s="644">
        <f t="shared" si="1"/>
        <v>282.77440237124347</v>
      </c>
      <c r="F113" s="612">
        <f t="shared" si="2"/>
        <v>2.5135502432999419</v>
      </c>
    </row>
    <row r="114" spans="1:10" ht="26.25" customHeight="1" x14ac:dyDescent="0.4">
      <c r="A114" s="487" t="s">
        <v>119</v>
      </c>
      <c r="B114" s="488">
        <v>1</v>
      </c>
      <c r="C114" s="606"/>
      <c r="D114" s="560"/>
      <c r="E114" s="461"/>
      <c r="F114" s="613"/>
    </row>
    <row r="115" spans="1:10" ht="26.25" customHeight="1" x14ac:dyDescent="0.4">
      <c r="A115" s="487" t="s">
        <v>120</v>
      </c>
      <c r="B115" s="488">
        <v>1</v>
      </c>
      <c r="C115" s="606"/>
      <c r="D115" s="614"/>
      <c r="E115" s="615" t="s">
        <v>70</v>
      </c>
      <c r="F115" s="616">
        <f>AVERAGE(F108:F113)</f>
        <v>2.5078310043309209</v>
      </c>
    </row>
    <row r="116" spans="1:10" ht="27" customHeight="1" x14ac:dyDescent="0.4">
      <c r="A116" s="487" t="s">
        <v>121</v>
      </c>
      <c r="B116" s="519">
        <f>(B115/B114)*(B113/B112)*(B111/B110)*(B109/B108)*B107</f>
        <v>9000</v>
      </c>
      <c r="C116" s="617"/>
      <c r="D116" s="618"/>
      <c r="E116" s="579" t="s">
        <v>83</v>
      </c>
      <c r="F116" s="619">
        <f>STDEV(F108:F113)/F115</f>
        <v>6.0966490078912467E-3</v>
      </c>
      <c r="I116" s="461"/>
    </row>
    <row r="117" spans="1:10" ht="27" customHeight="1" x14ac:dyDescent="0.4">
      <c r="A117" s="662" t="s">
        <v>77</v>
      </c>
      <c r="B117" s="663"/>
      <c r="C117" s="620"/>
      <c r="D117" s="621"/>
      <c r="E117" s="622" t="s">
        <v>20</v>
      </c>
      <c r="F117" s="623">
        <f>COUNT(F108:F113)</f>
        <v>6</v>
      </c>
      <c r="I117" s="461"/>
      <c r="J117" s="599"/>
    </row>
    <row r="118" spans="1:10" ht="19.5" customHeight="1" x14ac:dyDescent="0.3">
      <c r="A118" s="664"/>
      <c r="B118" s="665"/>
      <c r="C118" s="461"/>
      <c r="D118" s="461"/>
      <c r="E118" s="461"/>
      <c r="F118" s="560"/>
      <c r="G118" s="461"/>
      <c r="H118" s="461"/>
      <c r="I118" s="461"/>
    </row>
    <row r="119" spans="1:10" ht="18.75" x14ac:dyDescent="0.3">
      <c r="A119" s="632"/>
      <c r="B119" s="483"/>
      <c r="C119" s="461"/>
      <c r="D119" s="461"/>
      <c r="E119" s="461"/>
      <c r="F119" s="560"/>
      <c r="G119" s="461"/>
      <c r="H119" s="461"/>
      <c r="I119" s="461"/>
    </row>
    <row r="120" spans="1:10" ht="26.25" customHeight="1" x14ac:dyDescent="0.4">
      <c r="A120" s="471" t="s">
        <v>148</v>
      </c>
      <c r="B120" s="567" t="s">
        <v>122</v>
      </c>
      <c r="C120" s="666" t="str">
        <f>B20</f>
        <v>Fluralaner</v>
      </c>
      <c r="D120" s="666"/>
      <c r="E120" s="568" t="s">
        <v>123</v>
      </c>
      <c r="F120" s="568"/>
      <c r="G120" s="569">
        <f>F115</f>
        <v>2.5078310043309209</v>
      </c>
      <c r="H120" s="461"/>
      <c r="I120" s="461"/>
    </row>
    <row r="121" spans="1:10" ht="19.5" customHeight="1" x14ac:dyDescent="0.3">
      <c r="A121" s="624"/>
      <c r="B121" s="624"/>
      <c r="C121" s="625"/>
      <c r="D121" s="625"/>
      <c r="E121" s="625"/>
      <c r="F121" s="625"/>
      <c r="G121" s="625"/>
      <c r="H121" s="625"/>
    </row>
    <row r="122" spans="1:10" ht="18.75" x14ac:dyDescent="0.3">
      <c r="B122" s="657" t="s">
        <v>26</v>
      </c>
      <c r="C122" s="657"/>
      <c r="E122" s="574" t="s">
        <v>27</v>
      </c>
      <c r="F122" s="626"/>
      <c r="G122" s="657" t="s">
        <v>28</v>
      </c>
      <c r="H122" s="657"/>
    </row>
    <row r="123" spans="1:10" ht="69.95" customHeight="1" x14ac:dyDescent="0.3">
      <c r="A123" s="627" t="s">
        <v>29</v>
      </c>
      <c r="B123" s="628"/>
      <c r="C123" s="628"/>
      <c r="E123" s="628"/>
      <c r="F123" s="461"/>
      <c r="G123" s="629"/>
      <c r="H123" s="629"/>
    </row>
    <row r="124" spans="1:10" ht="69.95" customHeight="1" x14ac:dyDescent="0.3">
      <c r="A124" s="627" t="s">
        <v>30</v>
      </c>
      <c r="B124" s="630"/>
      <c r="C124" s="630"/>
      <c r="E124" s="630"/>
      <c r="F124" s="461"/>
      <c r="G124" s="631"/>
      <c r="H124" s="631"/>
    </row>
    <row r="125" spans="1:10" ht="18.75" x14ac:dyDescent="0.3">
      <c r="A125" s="559"/>
      <c r="B125" s="559"/>
      <c r="C125" s="560"/>
      <c r="D125" s="560"/>
      <c r="E125" s="560"/>
      <c r="F125" s="564"/>
      <c r="G125" s="560"/>
      <c r="H125" s="560"/>
      <c r="I125" s="461"/>
    </row>
    <row r="126" spans="1:10" ht="18.75" x14ac:dyDescent="0.3">
      <c r="A126" s="559"/>
      <c r="B126" s="559"/>
      <c r="C126" s="560"/>
      <c r="D126" s="560"/>
      <c r="E126" s="560"/>
      <c r="F126" s="564"/>
      <c r="G126" s="560"/>
      <c r="H126" s="560"/>
      <c r="I126" s="461"/>
    </row>
    <row r="127" spans="1:10" ht="18.75" x14ac:dyDescent="0.3">
      <c r="A127" s="559"/>
      <c r="B127" s="559"/>
      <c r="C127" s="560"/>
      <c r="D127" s="560"/>
      <c r="E127" s="560"/>
      <c r="F127" s="564"/>
      <c r="G127" s="560"/>
      <c r="H127" s="560"/>
      <c r="I127" s="461"/>
    </row>
    <row r="128" spans="1:10" ht="18.75" x14ac:dyDescent="0.3">
      <c r="A128" s="559"/>
      <c r="B128" s="559"/>
      <c r="C128" s="560"/>
      <c r="D128" s="560"/>
      <c r="E128" s="560"/>
      <c r="F128" s="564"/>
      <c r="G128" s="560"/>
      <c r="H128" s="560"/>
      <c r="I128" s="461"/>
    </row>
    <row r="129" spans="1:9" ht="18.75" x14ac:dyDescent="0.3">
      <c r="A129" s="559"/>
      <c r="B129" s="559"/>
      <c r="C129" s="560"/>
      <c r="D129" s="560"/>
      <c r="E129" s="560"/>
      <c r="F129" s="564"/>
      <c r="G129" s="560"/>
      <c r="H129" s="560"/>
      <c r="I129" s="461"/>
    </row>
    <row r="130" spans="1:9" ht="18.75" x14ac:dyDescent="0.3">
      <c r="A130" s="559"/>
      <c r="B130" s="559"/>
      <c r="C130" s="560"/>
      <c r="D130" s="560"/>
      <c r="E130" s="560"/>
      <c r="F130" s="564"/>
      <c r="G130" s="560"/>
      <c r="H130" s="560"/>
      <c r="I130" s="461"/>
    </row>
    <row r="131" spans="1:9" ht="18.75" x14ac:dyDescent="0.3">
      <c r="A131" s="559"/>
      <c r="B131" s="559"/>
      <c r="C131" s="560"/>
      <c r="D131" s="560"/>
      <c r="E131" s="560"/>
      <c r="F131" s="564"/>
      <c r="G131" s="560"/>
      <c r="H131" s="560"/>
      <c r="I131" s="461"/>
    </row>
    <row r="132" spans="1:9" ht="18.75" x14ac:dyDescent="0.3">
      <c r="A132" s="559"/>
      <c r="B132" s="559"/>
      <c r="C132" s="560"/>
      <c r="D132" s="560"/>
      <c r="E132" s="560"/>
      <c r="F132" s="564"/>
      <c r="G132" s="560"/>
      <c r="H132" s="560"/>
      <c r="I132" s="461"/>
    </row>
    <row r="133" spans="1:9" ht="18.75" x14ac:dyDescent="0.3">
      <c r="A133" s="559"/>
      <c r="B133" s="559"/>
      <c r="C133" s="560"/>
      <c r="D133" s="560"/>
      <c r="E133" s="560"/>
      <c r="F133" s="564"/>
      <c r="G133" s="560"/>
      <c r="H133" s="560"/>
      <c r="I133" s="461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Uniformity</vt:lpstr>
      <vt:lpstr>Fluralaner</vt:lpstr>
      <vt:lpstr>Fluralaner 1</vt:lpstr>
      <vt:lpstr>Fluralaner 2</vt:lpstr>
      <vt:lpstr>'Fluralaner 1'!Print_Area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dcterms:created xsi:type="dcterms:W3CDTF">2005-07-05T10:19:27Z</dcterms:created>
  <dcterms:modified xsi:type="dcterms:W3CDTF">2015-09-08T13:14:10Z</dcterms:modified>
</cp:coreProperties>
</file>