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Linagliptin" sheetId="3" r:id="rId3"/>
  </sheets>
  <definedNames>
    <definedName name="_xlnm.Print_Area" localSheetId="2">Linagliptin!$A$1:$H$129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87" i="3" l="1"/>
  <c r="C120" i="3"/>
  <c r="B116" i="3"/>
  <c r="D100" i="3" s="1"/>
  <c r="B98" i="3"/>
  <c r="F95" i="3"/>
  <c r="D95" i="3"/>
  <c r="F97" i="3"/>
  <c r="F98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D45" i="3" s="1"/>
  <c r="B30" i="3"/>
  <c r="D49" i="2"/>
  <c r="C46" i="2"/>
  <c r="D37" i="2" s="1"/>
  <c r="C45" i="2"/>
  <c r="D40" i="2"/>
  <c r="D36" i="2"/>
  <c r="D32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F99" i="3"/>
  <c r="D101" i="3"/>
  <c r="G93" i="3" s="1"/>
  <c r="B69" i="3"/>
  <c r="I39" i="3"/>
  <c r="D46" i="3"/>
  <c r="G94" i="3"/>
  <c r="D49" i="3"/>
  <c r="E38" i="3"/>
  <c r="E39" i="3"/>
  <c r="E40" i="3"/>
  <c r="E41" i="3"/>
  <c r="D29" i="2"/>
  <c r="D33" i="2"/>
  <c r="D41" i="2"/>
  <c r="C50" i="2"/>
  <c r="D26" i="2"/>
  <c r="D34" i="2"/>
  <c r="D38" i="2"/>
  <c r="B49" i="2"/>
  <c r="D50" i="2"/>
  <c r="D97" i="3"/>
  <c r="D98" i="3" s="1"/>
  <c r="D99" i="3" s="1"/>
  <c r="D27" i="2"/>
  <c r="D31" i="2"/>
  <c r="D35" i="2"/>
  <c r="D39" i="2"/>
  <c r="D43" i="2"/>
  <c r="C49" i="2"/>
  <c r="F44" i="3"/>
  <c r="F45" i="3" s="1"/>
  <c r="F46" i="3" s="1"/>
  <c r="D25" i="2"/>
  <c r="D30" i="2"/>
  <c r="D42" i="2"/>
  <c r="G92" i="3" l="1"/>
  <c r="G91" i="3"/>
  <c r="G95" i="3" s="1"/>
  <c r="D102" i="3"/>
  <c r="G41" i="3"/>
  <c r="E42" i="3"/>
  <c r="E93" i="3"/>
  <c r="G38" i="3"/>
  <c r="E92" i="3"/>
  <c r="E94" i="3"/>
  <c r="G39" i="3"/>
  <c r="G40" i="3"/>
  <c r="E91" i="3"/>
  <c r="G42" i="3" l="1"/>
  <c r="D50" i="3"/>
  <c r="G66" i="3" s="1"/>
  <c r="H66" i="3" s="1"/>
  <c r="D105" i="3"/>
  <c r="D103" i="3"/>
  <c r="E95" i="3"/>
  <c r="D52" i="3"/>
  <c r="G63" i="3" l="1"/>
  <c r="H63" i="3" s="1"/>
  <c r="G64" i="3"/>
  <c r="H64" i="3" s="1"/>
  <c r="G69" i="3"/>
  <c r="H69" i="3" s="1"/>
  <c r="G60" i="3"/>
  <c r="H60" i="3" s="1"/>
  <c r="G65" i="3"/>
  <c r="H65" i="3" s="1"/>
  <c r="D51" i="3"/>
  <c r="G62" i="3"/>
  <c r="H62" i="3" s="1"/>
  <c r="G61" i="3"/>
  <c r="H61" i="3" s="1"/>
  <c r="G70" i="3"/>
  <c r="H70" i="3" s="1"/>
  <c r="G71" i="3"/>
  <c r="H71" i="3" s="1"/>
  <c r="G68" i="3"/>
  <c r="H68" i="3" s="1"/>
  <c r="G67" i="3"/>
  <c r="H67" i="3" s="1"/>
  <c r="E111" i="3"/>
  <c r="F111" i="3" s="1"/>
  <c r="E109" i="3"/>
  <c r="F109" i="3" s="1"/>
  <c r="E112" i="3"/>
  <c r="F112" i="3" s="1"/>
  <c r="E110" i="3"/>
  <c r="F110" i="3" s="1"/>
  <c r="E108" i="3"/>
  <c r="F108" i="3" s="1"/>
  <c r="E113" i="3"/>
  <c r="F113" i="3" s="1"/>
  <c r="D104" i="3"/>
  <c r="H74" i="3" l="1"/>
  <c r="H72" i="3"/>
  <c r="H73" i="3" s="1"/>
  <c r="F115" i="3"/>
  <c r="F117" i="3"/>
  <c r="G76" i="3" l="1"/>
  <c r="F116" i="3"/>
  <c r="G120" i="3"/>
</calcChain>
</file>

<file path=xl/sharedStrings.xml><?xml version="1.0" encoding="utf-8"?>
<sst xmlns="http://schemas.openxmlformats.org/spreadsheetml/2006/main" count="234" uniqueCount="126">
  <si>
    <t>HPLC System Suitability Report</t>
  </si>
  <si>
    <t>Analysis Data</t>
  </si>
  <si>
    <t>Assay</t>
  </si>
  <si>
    <t>Sample(s)</t>
  </si>
  <si>
    <t>Reference Substance:</t>
  </si>
  <si>
    <t>LINA</t>
  </si>
  <si>
    <t>% age Purity:</t>
  </si>
  <si>
    <t>NDQD201507020</t>
  </si>
  <si>
    <t>Weight (mg):</t>
  </si>
  <si>
    <t>Linagliptin</t>
  </si>
  <si>
    <t>Standard Conc (mg/mL):</t>
  </si>
  <si>
    <t>Each tablet contains: Linagliptin (Manufacturer's spec.) 5mg</t>
  </si>
  <si>
    <t>2015-07-10 07:59:08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</si>
  <si>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</si>
  <si>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</si>
  <si>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</si>
  <si>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</si>
  <si>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</si>
  <si>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</si>
  <si>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</si>
  <si>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</si>
  <si>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</si>
  <si>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</si>
  <si>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</si>
  <si>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</si>
  <si>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</si>
  <si>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</si>
  <si>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</si>
  <si>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</si>
  <si>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</si>
  <si>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</si>
  <si>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</si>
  <si>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</si>
  <si>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</si>
  <si>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</si>
  <si>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</si>
  <si>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</si>
  <si>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</si>
  <si>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</si>
  <si>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</si>
  <si>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</si>
  <si>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</si>
  <si>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</si>
  <si>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</si>
  <si>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</si>
  <si>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</si>
  <si>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</si>
  <si>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</si>
  <si>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</si>
  <si>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</si>
  <si>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</si>
  <si>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</si>
  <si>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</si>
  <si>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</si>
  <si>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</si>
  <si>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</si>
  <si>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</si>
  <si>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</si>
  <si>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</si>
  <si>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</si>
  <si>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</si>
  <si>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</si>
  <si>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</si>
  <si>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</si>
  <si>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</si>
  <si>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</si>
  <si>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</si>
  <si>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</si>
  <si>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</si>
  <si>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</si>
  <si>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</si>
  <si>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</si>
  <si>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</si>
  <si>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</si>
  <si>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</si>
  <si>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</si>
  <si>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</si>
  <si>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</si>
  <si>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</si>
  <si>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</si>
  <si>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</si>
  <si>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</si>
  <si>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</si>
  <si>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</si>
  <si>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</si>
  <si>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</si>
  <si>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</si>
  <si>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</si>
  <si>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</si>
  <si>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</si>
  <si>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</si>
  <si>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</si>
  <si>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</si>
  <si>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</si>
  <si>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</si>
  <si>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</si>
  <si>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</si>
  <si>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</si>
  <si>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</si>
  <si>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</si>
  <si>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</si>
  <si>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</si>
  <si>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</si>
  <si>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</si>
  <si>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</si>
  <si>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</si>
  <si>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</si>
  <si>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</si>
  <si>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</si>
  <si>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</si>
  <si>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</si>
  <si>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</si>
  <si>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</si>
  <si>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</si>
  <si>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</si>
  <si>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</si>
  <si>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</si>
  <si>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</si>
  <si>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</si>
  <si>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</si>
  <si>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</si>
  <si>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</si>
  <si>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</si>
  <si>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</si>
  <si>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</si>
  <si>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L25-1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</si>
</sst>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26</v>
      </c>
      <c r="C59" s="2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31</v>
      </c>
      <c r="B11" s="286"/>
      <c r="C11" s="286"/>
      <c r="D11" s="286"/>
      <c r="E11" s="286"/>
      <c r="F11" s="287"/>
      <c r="G11" s="91"/>
    </row>
    <row r="12" spans="1:7" ht="16.5" customHeight="1" x14ac:dyDescent="0.3">
      <c r="A12" s="284" t="s">
        <v>32</v>
      </c>
      <c r="B12" s="284"/>
      <c r="C12" s="284"/>
      <c r="D12" s="284"/>
      <c r="E12" s="284"/>
      <c r="F12" s="284"/>
      <c r="G12" s="90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7" t="s">
        <v>12</v>
      </c>
    </row>
    <row r="19" spans="1:5" ht="16.5" customHeight="1" x14ac:dyDescent="0.3">
      <c r="A19" s="289" t="s">
        <v>38</v>
      </c>
      <c r="B19" s="2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4" t="s">
        <v>1</v>
      </c>
      <c r="B21" s="284"/>
      <c r="C21" s="59" t="s">
        <v>39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157.55000000000001</v>
      </c>
      <c r="D24" s="87">
        <f t="shared" ref="D24:D43" si="0">(C24-$C$46)/$C$46</f>
        <v>8.9172790291853574E-3</v>
      </c>
      <c r="E24" s="53"/>
    </row>
    <row r="25" spans="1:5" ht="15.75" customHeight="1" x14ac:dyDescent="0.3">
      <c r="C25" s="95">
        <v>157.47999999999999</v>
      </c>
      <c r="D25" s="88">
        <f t="shared" si="0"/>
        <v>8.469013656084344E-3</v>
      </c>
      <c r="E25" s="53"/>
    </row>
    <row r="26" spans="1:5" ht="15.75" customHeight="1" x14ac:dyDescent="0.3">
      <c r="C26" s="95">
        <v>158.65</v>
      </c>
      <c r="D26" s="88">
        <f t="shared" si="0"/>
        <v>1.5961449177913367E-2</v>
      </c>
      <c r="E26" s="53"/>
    </row>
    <row r="27" spans="1:5" ht="15.75" customHeight="1" x14ac:dyDescent="0.3">
      <c r="C27" s="95">
        <v>156.66</v>
      </c>
      <c r="D27" s="88">
        <f t="shared" si="0"/>
        <v>3.2179049997598432E-3</v>
      </c>
      <c r="E27" s="53"/>
    </row>
    <row r="28" spans="1:5" ht="15.75" customHeight="1" x14ac:dyDescent="0.3">
      <c r="C28" s="95">
        <v>162.21</v>
      </c>
      <c r="D28" s="88">
        <f t="shared" si="0"/>
        <v>3.8758945295615063E-2</v>
      </c>
      <c r="E28" s="53"/>
    </row>
    <row r="29" spans="1:5" ht="15.75" customHeight="1" x14ac:dyDescent="0.3">
      <c r="C29" s="95">
        <v>151.94</v>
      </c>
      <c r="D29" s="88">
        <f t="shared" si="0"/>
        <v>-2.7007988729327768E-2</v>
      </c>
      <c r="E29" s="53"/>
    </row>
    <row r="30" spans="1:5" ht="15.75" customHeight="1" x14ac:dyDescent="0.3">
      <c r="C30" s="95">
        <v>154.15</v>
      </c>
      <c r="D30" s="88">
        <f t="shared" si="0"/>
        <v>-1.2855610521428642E-2</v>
      </c>
      <c r="E30" s="53"/>
    </row>
    <row r="31" spans="1:5" ht="15.75" customHeight="1" x14ac:dyDescent="0.3">
      <c r="C31" s="95">
        <v>157.91999999999999</v>
      </c>
      <c r="D31" s="88">
        <f t="shared" si="0"/>
        <v>1.1286681715575548E-2</v>
      </c>
      <c r="E31" s="53"/>
    </row>
    <row r="32" spans="1:5" ht="15.75" customHeight="1" x14ac:dyDescent="0.3">
      <c r="C32" s="95">
        <v>158.31</v>
      </c>
      <c r="D32" s="88">
        <f t="shared" si="0"/>
        <v>1.3784160222851951E-2</v>
      </c>
      <c r="E32" s="53"/>
    </row>
    <row r="33" spans="1:7" ht="15.75" customHeight="1" x14ac:dyDescent="0.3">
      <c r="C33" s="95">
        <v>153.69999999999999</v>
      </c>
      <c r="D33" s="88">
        <f t="shared" si="0"/>
        <v>-1.5737316491362952E-2</v>
      </c>
      <c r="E33" s="53"/>
    </row>
    <row r="34" spans="1:7" ht="15.75" customHeight="1" x14ac:dyDescent="0.3">
      <c r="C34" s="95">
        <v>161.71</v>
      </c>
      <c r="D34" s="88">
        <f t="shared" si="0"/>
        <v>3.5557049773465951E-2</v>
      </c>
      <c r="E34" s="53"/>
    </row>
    <row r="35" spans="1:7" ht="15.75" customHeight="1" x14ac:dyDescent="0.3">
      <c r="C35" s="95">
        <v>153.79</v>
      </c>
      <c r="D35" s="88">
        <f t="shared" si="0"/>
        <v>-1.5160975297376091E-2</v>
      </c>
      <c r="E35" s="53"/>
    </row>
    <row r="36" spans="1:7" ht="15.75" customHeight="1" x14ac:dyDescent="0.3">
      <c r="C36" s="95">
        <v>155.43</v>
      </c>
      <c r="D36" s="88">
        <f t="shared" si="0"/>
        <v>-4.6587579847269071E-3</v>
      </c>
      <c r="E36" s="53"/>
    </row>
    <row r="37" spans="1:7" ht="15.75" customHeight="1" x14ac:dyDescent="0.3">
      <c r="C37" s="95">
        <v>154.32</v>
      </c>
      <c r="D37" s="88">
        <f t="shared" si="0"/>
        <v>-1.1766966043898024E-2</v>
      </c>
      <c r="E37" s="53"/>
    </row>
    <row r="38" spans="1:7" ht="15.75" customHeight="1" x14ac:dyDescent="0.3">
      <c r="C38" s="95">
        <v>154.68</v>
      </c>
      <c r="D38" s="88">
        <f t="shared" si="0"/>
        <v>-9.4616012679505767E-3</v>
      </c>
      <c r="E38" s="53"/>
    </row>
    <row r="39" spans="1:7" ht="15.75" customHeight="1" x14ac:dyDescent="0.3">
      <c r="C39" s="95">
        <v>155.83000000000001</v>
      </c>
      <c r="D39" s="88">
        <f t="shared" si="0"/>
        <v>-2.0972415670075812E-3</v>
      </c>
      <c r="E39" s="53"/>
    </row>
    <row r="40" spans="1:7" ht="15.75" customHeight="1" x14ac:dyDescent="0.3">
      <c r="C40" s="95">
        <v>154.03</v>
      </c>
      <c r="D40" s="88">
        <f t="shared" si="0"/>
        <v>-1.3624065446744459E-2</v>
      </c>
      <c r="E40" s="53"/>
    </row>
    <row r="41" spans="1:7" ht="15.75" customHeight="1" x14ac:dyDescent="0.3">
      <c r="C41" s="95">
        <v>154.88999999999999</v>
      </c>
      <c r="D41" s="88">
        <f t="shared" si="0"/>
        <v>-8.1168051486480795E-3</v>
      </c>
      <c r="E41" s="53"/>
    </row>
    <row r="42" spans="1:7" ht="15.75" customHeight="1" x14ac:dyDescent="0.3">
      <c r="C42" s="95">
        <v>156.79</v>
      </c>
      <c r="D42" s="88">
        <f t="shared" si="0"/>
        <v>4.050397835518583E-3</v>
      </c>
      <c r="E42" s="53"/>
    </row>
    <row r="43" spans="1:7" ht="16.5" customHeight="1" x14ac:dyDescent="0.3">
      <c r="C43" s="96">
        <v>153.11000000000001</v>
      </c>
      <c r="D43" s="89">
        <f t="shared" si="0"/>
        <v>-1.9515553207498745E-2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3123.15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156.1575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2">
        <f>C46</f>
        <v>156.1575</v>
      </c>
      <c r="C49" s="93">
        <f>-IF(C46&lt;=80,10%,IF(C46&lt;250,7.5%,5%))</f>
        <v>-7.4999999999999997E-2</v>
      </c>
      <c r="D49" s="81">
        <f>IF(C46&lt;=80,C46*0.9,IF(C46&lt;250,C46*0.925,C46*0.95))</f>
        <v>144.44568750000002</v>
      </c>
    </row>
    <row r="50" spans="1:6" ht="17.25" customHeight="1" x14ac:dyDescent="0.3">
      <c r="B50" s="283"/>
      <c r="C50" s="94">
        <f>IF(C46&lt;=80, 10%, IF(C46&lt;250, 7.5%, 5%))</f>
        <v>7.4999999999999997E-2</v>
      </c>
      <c r="D50" s="81">
        <f>IF(C46&lt;=80, C46*1.1, IF(C46&lt;250, C46*1.075, C46*1.05))</f>
        <v>167.86931249999998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57" zoomScale="60" zoomScaleNormal="60" zoomScaleSheetLayoutView="30" zoomScalePageLayoutView="55" workbookViewId="0">
      <selection activeCell="B27" sqref="B27:C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8" t="s">
        <v>45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25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25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25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25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25">
      <c r="A8" s="319" t="s">
        <v>46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25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25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25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25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25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25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">
      <c r="A15" s="98"/>
    </row>
    <row r="16" spans="1:9" ht="19.5" customHeight="1" x14ac:dyDescent="0.3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100" t="s">
        <v>33</v>
      </c>
      <c r="B18" s="290" t="s">
        <v>5</v>
      </c>
      <c r="C18" s="290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69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5" t="s">
        <v>9</v>
      </c>
      <c r="C20" s="29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5" t="s">
        <v>11</v>
      </c>
      <c r="C21" s="295"/>
      <c r="D21" s="295"/>
      <c r="E21" s="295"/>
      <c r="F21" s="295"/>
      <c r="G21" s="295"/>
      <c r="H21" s="295"/>
      <c r="I21" s="104"/>
    </row>
    <row r="22" spans="1:14" ht="26.25" customHeight="1" x14ac:dyDescent="0.4">
      <c r="A22" s="100" t="s">
        <v>37</v>
      </c>
      <c r="B22" s="105">
        <v>42286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42286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0" t="s">
        <v>9</v>
      </c>
      <c r="C26" s="290"/>
    </row>
    <row r="27" spans="1:14" ht="26.25" customHeight="1" x14ac:dyDescent="0.4">
      <c r="A27" s="109" t="s">
        <v>48</v>
      </c>
      <c r="B27" s="296" t="s">
        <v>125</v>
      </c>
      <c r="C27" s="296"/>
    </row>
    <row r="28" spans="1:14" ht="27" customHeight="1" x14ac:dyDescent="0.4">
      <c r="A28" s="109" t="s">
        <v>6</v>
      </c>
      <c r="B28" s="110">
        <v>97.85</v>
      </c>
    </row>
    <row r="29" spans="1:14" s="14" customFormat="1" ht="27" customHeight="1" x14ac:dyDescent="0.4">
      <c r="A29" s="109" t="s">
        <v>49</v>
      </c>
      <c r="B29" s="111">
        <v>0</v>
      </c>
      <c r="C29" s="297" t="s">
        <v>50</v>
      </c>
      <c r="D29" s="298"/>
      <c r="E29" s="298"/>
      <c r="F29" s="298"/>
      <c r="G29" s="29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97.85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0" t="s">
        <v>53</v>
      </c>
      <c r="D31" s="301"/>
      <c r="E31" s="301"/>
      <c r="F31" s="301"/>
      <c r="G31" s="301"/>
      <c r="H31" s="30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0" t="s">
        <v>55</v>
      </c>
      <c r="D32" s="301"/>
      <c r="E32" s="301"/>
      <c r="F32" s="301"/>
      <c r="G32" s="301"/>
      <c r="H32" s="3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</v>
      </c>
      <c r="C36" s="99"/>
      <c r="D36" s="303" t="s">
        <v>59</v>
      </c>
      <c r="E36" s="304"/>
      <c r="F36" s="303" t="s">
        <v>60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/>
      <c r="E38" s="133" t="str">
        <f>IF(ISBLANK(D38),"-",$D$48/$D$45*D38)</f>
        <v>-</v>
      </c>
      <c r="F38" s="132"/>
      <c r="G38" s="134" t="str">
        <f>IF(ISBLANK(F38),"-",$D$48/$F$45*F38)</f>
        <v>-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/>
      <c r="E39" s="138" t="str">
        <f>IF(ISBLANK(D39),"-",$D$48/$D$45*D39)</f>
        <v>-</v>
      </c>
      <c r="F39" s="137"/>
      <c r="G39" s="139" t="str">
        <f>IF(ISBLANK(F39),"-",$D$48/$F$45*F39)</f>
        <v>-</v>
      </c>
      <c r="I39" s="307" t="e">
        <f>ABS((F43/D43*D42)-F42)/D42</f>
        <v>#DIV/0!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/>
      <c r="E40" s="138" t="str">
        <f>IF(ISBLANK(D40),"-",$D$48/$D$45*D40)</f>
        <v>-</v>
      </c>
      <c r="F40" s="137"/>
      <c r="G40" s="139" t="str">
        <f>IF(ISBLANK(F40),"-",$D$48/$F$45*F40)</f>
        <v>-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 t="e">
        <f>AVERAGE(D38:D41)</f>
        <v>#DIV/0!</v>
      </c>
      <c r="E42" s="148" t="e">
        <f>AVERAGE(E38:E41)</f>
        <v>#DIV/0!</v>
      </c>
      <c r="F42" s="147" t="e">
        <f>AVERAGE(F38:F41)</f>
        <v>#DIV/0!</v>
      </c>
      <c r="G42" s="149" t="e">
        <f>AVERAGE(G38:G41)</f>
        <v>#DIV/0!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/>
      <c r="E43" s="140"/>
      <c r="F43" s="152"/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0</v>
      </c>
      <c r="E44" s="155"/>
      <c r="F44" s="154">
        <f>F43*$B$34</f>
        <v>0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</v>
      </c>
      <c r="C45" s="153" t="s">
        <v>77</v>
      </c>
      <c r="D45" s="157">
        <f>D44*$B$30/100</f>
        <v>0</v>
      </c>
      <c r="E45" s="158"/>
      <c r="F45" s="157">
        <f>F44*$B$30/100</f>
        <v>0</v>
      </c>
      <c r="H45" s="150"/>
    </row>
    <row r="46" spans="1:14" ht="19.5" customHeight="1" x14ac:dyDescent="0.3">
      <c r="A46" s="308" t="s">
        <v>78</v>
      </c>
      <c r="B46" s="309"/>
      <c r="C46" s="153" t="s">
        <v>79</v>
      </c>
      <c r="D46" s="159">
        <f>D45/$B$45</f>
        <v>0</v>
      </c>
      <c r="E46" s="160"/>
      <c r="F46" s="161">
        <f>F45/$B$45</f>
        <v>0</v>
      </c>
      <c r="H46" s="150"/>
    </row>
    <row r="47" spans="1:14" ht="27" customHeight="1" x14ac:dyDescent="0.4">
      <c r="A47" s="310"/>
      <c r="B47" s="311"/>
      <c r="C47" s="162" t="s">
        <v>80</v>
      </c>
      <c r="D47" s="163"/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0</v>
      </c>
      <c r="F49" s="166"/>
      <c r="H49" s="150"/>
    </row>
    <row r="50" spans="1:12" ht="18.75" x14ac:dyDescent="0.3">
      <c r="C50" s="122" t="s">
        <v>83</v>
      </c>
      <c r="D50" s="169" t="e">
        <f>AVERAGE(E38:E41,G38:G41)</f>
        <v>#DIV/0!</v>
      </c>
      <c r="F50" s="170"/>
      <c r="H50" s="150"/>
    </row>
    <row r="51" spans="1:12" ht="18.75" x14ac:dyDescent="0.3">
      <c r="C51" s="124" t="s">
        <v>84</v>
      </c>
      <c r="D51" s="171" t="e">
        <f>STDEV(E38:E41,G38:G41)/D50</f>
        <v>#DIV/0!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0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Linagliptin (Manufacturer's spec.) 5mg</v>
      </c>
    </row>
    <row r="56" spans="1:12" ht="26.25" customHeight="1" x14ac:dyDescent="0.4">
      <c r="A56" s="177" t="s">
        <v>87</v>
      </c>
      <c r="B56" s="178">
        <v>5</v>
      </c>
      <c r="C56" s="99" t="str">
        <f>B20</f>
        <v>Linagliptin</v>
      </c>
      <c r="H56" s="179"/>
    </row>
    <row r="57" spans="1:12" ht="18.75" x14ac:dyDescent="0.3">
      <c r="A57" s="176" t="s">
        <v>88</v>
      </c>
      <c r="B57" s="268">
        <f>Uniformity!C46</f>
        <v>156.1575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2" t="s">
        <v>94</v>
      </c>
      <c r="D60" s="315">
        <v>0</v>
      </c>
      <c r="E60" s="182">
        <v>1</v>
      </c>
      <c r="F60" s="183"/>
      <c r="G60" s="270" t="str">
        <f>IF(ISBLANK(F60),"-",(F60/$D$50*$D$47*$B$68)*($B$57/$D$60))</f>
        <v>-</v>
      </c>
      <c r="H60" s="184" t="str">
        <f t="shared" ref="H60:H71" si="0">IF(ISBLANK(F60),"-",G60/$B$56)</f>
        <v>-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3"/>
      <c r="D61" s="316"/>
      <c r="E61" s="185">
        <v>2</v>
      </c>
      <c r="F61" s="137"/>
      <c r="G61" s="271" t="str">
        <f>IF(ISBLANK(F61),"-",(F61/$D$50*$D$47*$B$68)*($B$57/$D$60))</f>
        <v>-</v>
      </c>
      <c r="H61" s="186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5">
        <v>3</v>
      </c>
      <c r="F62" s="187"/>
      <c r="G62" s="271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14"/>
      <c r="D63" s="317"/>
      <c r="E63" s="188">
        <v>4</v>
      </c>
      <c r="F63" s="189"/>
      <c r="G63" s="271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0</v>
      </c>
      <c r="E64" s="182">
        <v>1</v>
      </c>
      <c r="F64" s="183"/>
      <c r="G64" s="272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5">
        <v>2</v>
      </c>
      <c r="F65" s="137"/>
      <c r="G65" s="273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5">
        <v>3</v>
      </c>
      <c r="F66" s="137"/>
      <c r="G66" s="273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14"/>
      <c r="D67" s="317"/>
      <c r="E67" s="188">
        <v>4</v>
      </c>
      <c r="F67" s="189"/>
      <c r="G67" s="274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</v>
      </c>
      <c r="C68" s="312" t="s">
        <v>104</v>
      </c>
      <c r="D68" s="315">
        <v>0</v>
      </c>
      <c r="E68" s="182">
        <v>1</v>
      </c>
      <c r="F68" s="183"/>
      <c r="G68" s="272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105</v>
      </c>
      <c r="B69" s="194">
        <f>(D47*B68)/B56*B57</f>
        <v>0</v>
      </c>
      <c r="C69" s="313"/>
      <c r="D69" s="316"/>
      <c r="E69" s="185">
        <v>2</v>
      </c>
      <c r="F69" s="137"/>
      <c r="G69" s="273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25" t="s">
        <v>78</v>
      </c>
      <c r="B70" s="326"/>
      <c r="C70" s="313"/>
      <c r="D70" s="316"/>
      <c r="E70" s="185">
        <v>3</v>
      </c>
      <c r="F70" s="137"/>
      <c r="G70" s="273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27"/>
      <c r="B71" s="328"/>
      <c r="C71" s="324"/>
      <c r="D71" s="317"/>
      <c r="E71" s="188">
        <v>4</v>
      </c>
      <c r="F71" s="189"/>
      <c r="G71" s="274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 t="e">
        <f>AVERAGE(H60:H71)</f>
        <v>#DIV/0!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5" t="e">
        <f>STDEV(H60:H71)/H72</f>
        <v>#DIV/0!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0</v>
      </c>
    </row>
    <row r="76" spans="1:8" ht="26.25" customHeight="1" x14ac:dyDescent="0.4">
      <c r="A76" s="108" t="s">
        <v>106</v>
      </c>
      <c r="B76" s="204" t="s">
        <v>107</v>
      </c>
      <c r="C76" s="320" t="str">
        <f>B20</f>
        <v>Linagliptin</v>
      </c>
      <c r="D76" s="320"/>
      <c r="E76" s="205" t="s">
        <v>108</v>
      </c>
      <c r="F76" s="205"/>
      <c r="G76" s="206" t="e">
        <f>H72</f>
        <v>#DIV/0!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6" t="str">
        <f>B26</f>
        <v>Linagliptin</v>
      </c>
      <c r="C79" s="306"/>
    </row>
    <row r="80" spans="1:8" ht="26.25" customHeight="1" x14ac:dyDescent="0.4">
      <c r="A80" s="109" t="s">
        <v>48</v>
      </c>
      <c r="B80" s="306" t="str">
        <f>B27</f>
        <v>L25-1</v>
      </c>
      <c r="C80" s="306"/>
    </row>
    <row r="81" spans="1:12" ht="27" customHeight="1" x14ac:dyDescent="0.4">
      <c r="A81" s="109" t="s">
        <v>6</v>
      </c>
      <c r="B81" s="208">
        <f>B28</f>
        <v>97.85</v>
      </c>
    </row>
    <row r="82" spans="1:12" s="14" customFormat="1" ht="27" customHeight="1" x14ac:dyDescent="0.4">
      <c r="A82" s="109" t="s">
        <v>49</v>
      </c>
      <c r="B82" s="111">
        <v>0</v>
      </c>
      <c r="C82" s="297" t="s">
        <v>50</v>
      </c>
      <c r="D82" s="298"/>
      <c r="E82" s="298"/>
      <c r="F82" s="298"/>
      <c r="G82" s="29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97.85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0" t="s">
        <v>111</v>
      </c>
      <c r="D84" s="301"/>
      <c r="E84" s="301"/>
      <c r="F84" s="301"/>
      <c r="G84" s="301"/>
      <c r="H84" s="30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0" t="s">
        <v>112</v>
      </c>
      <c r="D85" s="301"/>
      <c r="E85" s="301"/>
      <c r="F85" s="301"/>
      <c r="G85" s="301"/>
      <c r="H85" s="30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3" t="s">
        <v>60</v>
      </c>
      <c r="G89" s="305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329">
        <v>0.40200000000000002</v>
      </c>
      <c r="E91" s="133">
        <f>IF(ISBLANK(D91),"-",$D$101/$D$98*D91)</f>
        <v>0.43724234515910732</v>
      </c>
      <c r="F91" s="329">
        <v>0.40400000000000003</v>
      </c>
      <c r="G91" s="134">
        <f>IF(ISBLANK(F91),"-",$D$101/$F$98*F91)</f>
        <v>0.44510225563280209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330">
        <v>0.40300000000000002</v>
      </c>
      <c r="E92" s="138">
        <f>IF(ISBLANK(D92),"-",$D$101/$D$98*D92)</f>
        <v>0.43833001268437871</v>
      </c>
      <c r="F92" s="330">
        <v>0.40400000000000003</v>
      </c>
      <c r="G92" s="139">
        <f>IF(ISBLANK(F92),"-",$D$101/$F$98*F92)</f>
        <v>0.44510225563280209</v>
      </c>
      <c r="I92" s="307">
        <f>ABS((F96/D96*D95)-F95)/D95</f>
        <v>1.6082650359882621E-2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330">
        <v>0.40300000000000002</v>
      </c>
      <c r="E93" s="138">
        <f>IF(ISBLANK(D93),"-",$D$101/$D$98*D93)</f>
        <v>0.43833001268437871</v>
      </c>
      <c r="F93" s="330">
        <v>0.40400000000000003</v>
      </c>
      <c r="G93" s="139">
        <f>IF(ISBLANK(F93),"-",$D$101/$F$98*F93)</f>
        <v>0.44510225563280209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279"/>
      <c r="E94" s="143" t="str">
        <f>IF(ISBLANK(D94),"-",$D$101/$D$98*D94)</f>
        <v>-</v>
      </c>
      <c r="F94" s="279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0.40266666666666673</v>
      </c>
      <c r="E95" s="148">
        <f>AVERAGE(E91:E94)</f>
        <v>0.43796745684262156</v>
      </c>
      <c r="F95" s="217">
        <f>AVERAGE(F91:F94)</f>
        <v>0.40400000000000008</v>
      </c>
      <c r="G95" s="218">
        <f>AVERAGE(G91:G94)</f>
        <v>0.44510225563280209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23.49</v>
      </c>
      <c r="E96" s="140"/>
      <c r="F96" s="152">
        <v>23.19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23.49</v>
      </c>
      <c r="E97" s="155"/>
      <c r="F97" s="154">
        <f>F96*$B$87</f>
        <v>23.19</v>
      </c>
    </row>
    <row r="98" spans="1:10" ht="19.5" customHeight="1" x14ac:dyDescent="0.3">
      <c r="A98" s="124" t="s">
        <v>76</v>
      </c>
      <c r="B98" s="223">
        <f>(B97/B96)*(B95/B94)*(B93/B92)*(B91/B90)*B89</f>
        <v>2500</v>
      </c>
      <c r="C98" s="221" t="s">
        <v>115</v>
      </c>
      <c r="D98" s="224">
        <f>D97*$B$83/100</f>
        <v>22.984964999999999</v>
      </c>
      <c r="E98" s="158"/>
      <c r="F98" s="157">
        <f>F97*$B$83/100</f>
        <v>22.691415000000003</v>
      </c>
    </row>
    <row r="99" spans="1:10" ht="19.5" customHeight="1" x14ac:dyDescent="0.3">
      <c r="A99" s="308" t="s">
        <v>78</v>
      </c>
      <c r="B99" s="322"/>
      <c r="C99" s="221" t="s">
        <v>116</v>
      </c>
      <c r="D99" s="225">
        <f>D98/$B$98</f>
        <v>9.1939859999999995E-3</v>
      </c>
      <c r="E99" s="158"/>
      <c r="F99" s="161">
        <f>F98/$B$98</f>
        <v>9.0765660000000012E-3</v>
      </c>
      <c r="G99" s="226"/>
      <c r="H99" s="150"/>
    </row>
    <row r="100" spans="1:10" ht="19.5" customHeight="1" x14ac:dyDescent="0.3">
      <c r="A100" s="310"/>
      <c r="B100" s="323"/>
      <c r="C100" s="221" t="s">
        <v>80</v>
      </c>
      <c r="D100" s="227">
        <f>$B$56/$B$116</f>
        <v>0.01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25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25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0.44153485623771177</v>
      </c>
      <c r="F103" s="170"/>
      <c r="G103" s="234"/>
      <c r="H103" s="150"/>
      <c r="J103" s="235"/>
    </row>
    <row r="104" spans="1:10" ht="18.75" x14ac:dyDescent="0.3">
      <c r="C104" s="200" t="s">
        <v>84</v>
      </c>
      <c r="D104" s="236">
        <f>STDEV(E91:E94,G91:G94)/D103</f>
        <v>8.896285501238041E-3</v>
      </c>
      <c r="F104" s="170"/>
      <c r="G104" s="226"/>
      <c r="H104" s="150"/>
      <c r="J104" s="235"/>
    </row>
    <row r="105" spans="1:10" ht="19.5" customHeight="1" x14ac:dyDescent="0.3">
      <c r="C105" s="202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500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</v>
      </c>
      <c r="C108" s="242">
        <v>1</v>
      </c>
      <c r="D108" s="331">
        <v>0.50800000000000001</v>
      </c>
      <c r="E108" s="276">
        <f t="shared" ref="E108:E113" si="1">IF(ISBLANK(D108),"-",D108/$D$103*$D$100*$B$116)</f>
        <v>5.7526602127024944</v>
      </c>
      <c r="F108" s="243">
        <f t="shared" ref="F108:F113" si="2">IF(ISBLANK(D108), "-", E108/$B$56)</f>
        <v>1.1505320425404988</v>
      </c>
    </row>
    <row r="109" spans="1:10" ht="26.25" customHeight="1" x14ac:dyDescent="0.4">
      <c r="A109" s="124" t="s">
        <v>95</v>
      </c>
      <c r="B109" s="125">
        <v>1</v>
      </c>
      <c r="C109" s="242">
        <v>2</v>
      </c>
      <c r="D109" s="331">
        <v>0.49299999999999999</v>
      </c>
      <c r="E109" s="277">
        <f t="shared" si="1"/>
        <v>5.5827981985478923</v>
      </c>
      <c r="F109" s="244">
        <f t="shared" si="2"/>
        <v>1.1165596397095785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331">
        <v>0.45600000000000002</v>
      </c>
      <c r="E110" s="277">
        <f t="shared" si="1"/>
        <v>5.163805230299876</v>
      </c>
      <c r="F110" s="244">
        <f t="shared" si="2"/>
        <v>1.0327610460599752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331">
        <v>0.46400000000000002</v>
      </c>
      <c r="E111" s="277">
        <f t="shared" si="1"/>
        <v>5.2543983045156644</v>
      </c>
      <c r="F111" s="244">
        <f t="shared" si="2"/>
        <v>1.0508796609031328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331">
        <v>0.49199999999999999</v>
      </c>
      <c r="E112" s="277">
        <f t="shared" si="1"/>
        <v>5.5714740642709195</v>
      </c>
      <c r="F112" s="244">
        <f t="shared" si="2"/>
        <v>1.1142948128541839</v>
      </c>
    </row>
    <row r="113" spans="1:10" ht="26.25" customHeight="1" x14ac:dyDescent="0.4">
      <c r="A113" s="124" t="s">
        <v>100</v>
      </c>
      <c r="B113" s="125">
        <v>1</v>
      </c>
      <c r="C113" s="245">
        <v>6</v>
      </c>
      <c r="D113" s="332">
        <v>0.46200000000000002</v>
      </c>
      <c r="E113" s="278">
        <f t="shared" si="1"/>
        <v>5.2317500359617171</v>
      </c>
      <c r="F113" s="246">
        <f t="shared" si="2"/>
        <v>1.0463500071923435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7"/>
    </row>
    <row r="115" spans="1:10" ht="26.25" customHeight="1" x14ac:dyDescent="0.4">
      <c r="A115" s="124" t="s">
        <v>102</v>
      </c>
      <c r="B115" s="125">
        <v>1</v>
      </c>
      <c r="C115" s="242"/>
      <c r="D115" s="248"/>
      <c r="E115" s="249" t="s">
        <v>71</v>
      </c>
      <c r="F115" s="250">
        <f>AVERAGE(F108:F113)</f>
        <v>1.0852295348766188</v>
      </c>
    </row>
    <row r="116" spans="1:10" ht="27" customHeight="1" x14ac:dyDescent="0.4">
      <c r="A116" s="124" t="s">
        <v>103</v>
      </c>
      <c r="B116" s="156">
        <f>(B115/B114)*(B113/B112)*(B111/B110)*(B109/B108)*B107</f>
        <v>500</v>
      </c>
      <c r="C116" s="251"/>
      <c r="D116" s="252"/>
      <c r="E116" s="215" t="s">
        <v>84</v>
      </c>
      <c r="F116" s="253">
        <f>STDEV(F108:F113)/F115</f>
        <v>4.4259554093375383E-2</v>
      </c>
      <c r="I116" s="98"/>
    </row>
    <row r="117" spans="1:10" ht="27" customHeight="1" x14ac:dyDescent="0.4">
      <c r="A117" s="308" t="s">
        <v>78</v>
      </c>
      <c r="B117" s="309"/>
      <c r="C117" s="254"/>
      <c r="D117" s="255"/>
      <c r="E117" s="256" t="s">
        <v>20</v>
      </c>
      <c r="F117" s="257">
        <f>COUNT(F108:F113)</f>
        <v>6</v>
      </c>
      <c r="I117" s="98"/>
      <c r="J117" s="235"/>
    </row>
    <row r="118" spans="1:10" ht="19.5" customHeight="1" x14ac:dyDescent="0.3">
      <c r="A118" s="310"/>
      <c r="B118" s="31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0" t="str">
        <f>B20</f>
        <v>Linagliptin</v>
      </c>
      <c r="D120" s="320"/>
      <c r="E120" s="205" t="s">
        <v>124</v>
      </c>
      <c r="F120" s="205"/>
      <c r="G120" s="206">
        <f>F115</f>
        <v>1.0852295348766188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1" t="s">
        <v>26</v>
      </c>
      <c r="C122" s="321"/>
      <c r="E122" s="211" t="s">
        <v>27</v>
      </c>
      <c r="F122" s="260"/>
      <c r="G122" s="321" t="s">
        <v>28</v>
      </c>
      <c r="H122" s="321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Linagliptin</vt:lpstr>
      <vt:lpstr>Linagliptin!Print_Area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2015-10-09T09:57:16Z</cp:lastPrinted>
  <dcterms:created xsi:type="dcterms:W3CDTF">2005-07-05T10:19:27Z</dcterms:created>
  <dcterms:modified xsi:type="dcterms:W3CDTF">2015-10-09T09:58:38Z</dcterms:modified>
</cp:coreProperties>
</file>