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-PPQ" sheetId="1" r:id="rId1"/>
    <sheet name="SST-DHA" sheetId="6" r:id="rId2"/>
    <sheet name="Uniformity" sheetId="2" r:id="rId3"/>
    <sheet name="Dihydroartemisinin" sheetId="3" r:id="rId4"/>
    <sheet name="Piperaquine Phosphate" sheetId="4" r:id="rId5"/>
  </sheets>
  <definedNames>
    <definedName name="_xlnm.Print_Area" localSheetId="3">Dihydroartemisinin!$A$1:$H$125</definedName>
    <definedName name="_xlnm.Print_Area" localSheetId="4">'Piperaquine Phosphate'!$A$1:$H$125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B20" i="1"/>
  <c r="B21" i="6"/>
  <c r="B20" i="6"/>
  <c r="C120" i="3"/>
  <c r="C76" i="3"/>
  <c r="C120" i="4"/>
  <c r="C76" i="4"/>
  <c r="C56" i="4"/>
  <c r="C56" i="3"/>
  <c r="B69" i="3"/>
  <c r="B30" i="3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H63" i="3"/>
  <c r="H67" i="3"/>
  <c r="B87" i="4" l="1"/>
  <c r="B69" i="4"/>
  <c r="G41" i="4"/>
  <c r="E41" i="4"/>
  <c r="B34" i="3"/>
  <c r="B116" i="4"/>
  <c r="D100" i="4"/>
  <c r="B98" i="4"/>
  <c r="F95" i="4"/>
  <c r="D95" i="4"/>
  <c r="F97" i="4"/>
  <c r="B81" i="4"/>
  <c r="B83" i="4" s="1"/>
  <c r="B80" i="4"/>
  <c r="B79" i="4"/>
  <c r="B68" i="4"/>
  <c r="B55" i="4"/>
  <c r="B45" i="4"/>
  <c r="D48" i="4" s="1"/>
  <c r="F42" i="4"/>
  <c r="D42" i="4"/>
  <c r="B34" i="4"/>
  <c r="D44" i="4" s="1"/>
  <c r="D45" i="4" s="1"/>
  <c r="B30" i="4"/>
  <c r="B116" i="3"/>
  <c r="D100" i="3" s="1"/>
  <c r="B98" i="3"/>
  <c r="F95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D44" i="3"/>
  <c r="C49" i="2"/>
  <c r="C46" i="2"/>
  <c r="D50" i="2" s="1"/>
  <c r="C45" i="2"/>
  <c r="D43" i="2"/>
  <c r="D39" i="2"/>
  <c r="D37" i="2"/>
  <c r="D35" i="2"/>
  <c r="D33" i="2"/>
  <c r="D31" i="2"/>
  <c r="D29" i="2"/>
  <c r="D27" i="2"/>
  <c r="D2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92" i="4"/>
  <c r="D101" i="4"/>
  <c r="G91" i="4" s="1"/>
  <c r="I39" i="4"/>
  <c r="F44" i="4"/>
  <c r="F45" i="4" s="1"/>
  <c r="G40" i="4" s="1"/>
  <c r="D49" i="4"/>
  <c r="F98" i="4"/>
  <c r="F99" i="4" s="1"/>
  <c r="I39" i="3"/>
  <c r="F44" i="3"/>
  <c r="F45" i="3" s="1"/>
  <c r="G38" i="3" s="1"/>
  <c r="D49" i="3"/>
  <c r="D45" i="3"/>
  <c r="E38" i="3" s="1"/>
  <c r="D102" i="4"/>
  <c r="G93" i="4"/>
  <c r="G94" i="4"/>
  <c r="G92" i="4"/>
  <c r="F98" i="3"/>
  <c r="F99" i="3" s="1"/>
  <c r="E38" i="4"/>
  <c r="D46" i="4"/>
  <c r="E39" i="4"/>
  <c r="F46" i="4"/>
  <c r="D24" i="2"/>
  <c r="D28" i="2"/>
  <c r="D32" i="2"/>
  <c r="D36" i="2"/>
  <c r="D40" i="2"/>
  <c r="D49" i="2"/>
  <c r="B57" i="3"/>
  <c r="B57" i="4"/>
  <c r="C50" i="2"/>
  <c r="D97" i="3"/>
  <c r="D98" i="3" s="1"/>
  <c r="D99" i="3" s="1"/>
  <c r="D97" i="4"/>
  <c r="D98" i="4" s="1"/>
  <c r="D99" i="4" s="1"/>
  <c r="D41" i="2"/>
  <c r="D26" i="2"/>
  <c r="D30" i="2"/>
  <c r="D34" i="2"/>
  <c r="D38" i="2"/>
  <c r="D42" i="2"/>
  <c r="B49" i="2"/>
  <c r="G38" i="4"/>
  <c r="E40" i="4"/>
  <c r="D46" i="3" l="1"/>
  <c r="G39" i="4"/>
  <c r="D52" i="4" s="1"/>
  <c r="G95" i="4"/>
  <c r="E94" i="4"/>
  <c r="E93" i="4"/>
  <c r="E91" i="4"/>
  <c r="E92" i="4"/>
  <c r="G40" i="3"/>
  <c r="G41" i="3"/>
  <c r="F46" i="3"/>
  <c r="E40" i="3"/>
  <c r="E41" i="3"/>
  <c r="E39" i="3"/>
  <c r="G39" i="3"/>
  <c r="E91" i="3"/>
  <c r="G94" i="3"/>
  <c r="G93" i="3"/>
  <c r="G92" i="3"/>
  <c r="G91" i="3"/>
  <c r="E94" i="3"/>
  <c r="E93" i="3"/>
  <c r="E42" i="4"/>
  <c r="E92" i="3"/>
  <c r="E95" i="4" l="1"/>
  <c r="D105" i="4"/>
  <c r="D50" i="4"/>
  <c r="G66" i="4" s="1"/>
  <c r="H66" i="4" s="1"/>
  <c r="G42" i="4"/>
  <c r="D103" i="4"/>
  <c r="E110" i="4" s="1"/>
  <c r="F110" i="4" s="1"/>
  <c r="D52" i="3"/>
  <c r="E42" i="3"/>
  <c r="G42" i="3"/>
  <c r="D50" i="3"/>
  <c r="G66" i="3" s="1"/>
  <c r="H66" i="3" s="1"/>
  <c r="G95" i="3"/>
  <c r="G71" i="4"/>
  <c r="H71" i="4" s="1"/>
  <c r="G69" i="4"/>
  <c r="H69" i="4" s="1"/>
  <c r="E95" i="3"/>
  <c r="D105" i="3"/>
  <c r="D103" i="3"/>
  <c r="E108" i="4"/>
  <c r="G68" i="4" l="1"/>
  <c r="H68" i="4" s="1"/>
  <c r="E112" i="4"/>
  <c r="F112" i="4" s="1"/>
  <c r="E113" i="4"/>
  <c r="F113" i="4" s="1"/>
  <c r="D104" i="4"/>
  <c r="E111" i="4"/>
  <c r="F111" i="4" s="1"/>
  <c r="G65" i="4"/>
  <c r="H65" i="4" s="1"/>
  <c r="G70" i="4"/>
  <c r="H70" i="4" s="1"/>
  <c r="G60" i="4"/>
  <c r="H60" i="4" s="1"/>
  <c r="G61" i="4"/>
  <c r="H61" i="4" s="1"/>
  <c r="G62" i="4"/>
  <c r="H62" i="4" s="1"/>
  <c r="G67" i="4"/>
  <c r="H67" i="4" s="1"/>
  <c r="G64" i="4"/>
  <c r="H64" i="4" s="1"/>
  <c r="G63" i="4"/>
  <c r="H63" i="4" s="1"/>
  <c r="D51" i="4"/>
  <c r="E109" i="4"/>
  <c r="F109" i="4" s="1"/>
  <c r="G62" i="3"/>
  <c r="H62" i="3" s="1"/>
  <c r="G69" i="3"/>
  <c r="H69" i="3" s="1"/>
  <c r="G65" i="3"/>
  <c r="H65" i="3" s="1"/>
  <c r="G60" i="3"/>
  <c r="H60" i="3" s="1"/>
  <c r="G67" i="3"/>
  <c r="G71" i="3"/>
  <c r="H71" i="3" s="1"/>
  <c r="G61" i="3"/>
  <c r="H61" i="3" s="1"/>
  <c r="G70" i="3"/>
  <c r="H70" i="3" s="1"/>
  <c r="G64" i="3"/>
  <c r="H64" i="3" s="1"/>
  <c r="G68" i="3"/>
  <c r="H68" i="3" s="1"/>
  <c r="G63" i="3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F108" i="4"/>
  <c r="E117" i="4" l="1"/>
  <c r="G74" i="4"/>
  <c r="G72" i="4"/>
  <c r="G73" i="4" s="1"/>
  <c r="E115" i="4"/>
  <c r="E116" i="4" s="1"/>
  <c r="G72" i="3"/>
  <c r="G73" i="3" s="1"/>
  <c r="G74" i="3"/>
  <c r="F117" i="4"/>
  <c r="F115" i="4"/>
  <c r="H74" i="3"/>
  <c r="H72" i="3"/>
  <c r="G76" i="3" s="1"/>
  <c r="E115" i="3"/>
  <c r="E116" i="3" s="1"/>
  <c r="E117" i="3"/>
  <c r="F108" i="3"/>
  <c r="H74" i="4"/>
  <c r="H72" i="4"/>
  <c r="G76" i="4" s="1"/>
  <c r="H73" i="3" l="1"/>
  <c r="H73" i="4"/>
  <c r="F117" i="3"/>
  <c r="F115" i="3"/>
  <c r="G120" i="4"/>
  <c r="F116" i="4"/>
  <c r="G120" i="3" l="1"/>
  <c r="F116" i="3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<sst xmlns="http://schemas.openxmlformats.org/spreadsheetml/2006/main" count="442" uniqueCount="132">
  <si>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</si>
  <si>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</si>
  <si>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</si>
  <si>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</si>
  <si>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</si>
  <si>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D-ARTEPP</t>
  </si>
  <si>
    <t>% age Purity:</t>
  </si>
  <si>
    <t>NDQD201507025</t>
  </si>
  <si>
    <t>Weight (mg):</t>
  </si>
  <si>
    <t>Dihydroartemisinin , Piperaquine Phosphate</t>
  </si>
  <si>
    <t>Standard Conc (mg/mL):</t>
  </si>
  <si>
    <t>each tablets contains dihydroartemesinin 20mg,piperaquine phosphate 160mg.</t>
  </si>
  <si>
    <t>2015-07-17 06:35:49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</si>
  <si>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</si>
  <si>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</si>
  <si>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</si>
  <si>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</si>
  <si>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</si>
  <si>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</si>
  <si>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</si>
  <si>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</si>
  <si>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</si>
  <si>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</si>
  <si>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</si>
  <si>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</si>
  <si>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</si>
  <si>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</si>
  <si>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</si>
  <si>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</si>
  <si>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</si>
  <si>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</si>
  <si>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</si>
  <si>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</si>
  <si>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</si>
  <si>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</si>
  <si>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</si>
  <si>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</si>
  <si>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</si>
  <si>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</si>
  <si>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</si>
  <si>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</si>
  <si>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</si>
  <si>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</si>
  <si>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</si>
  <si>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</si>
  <si>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</si>
  <si>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</si>
  <si>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</si>
  <si>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</si>
  <si>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</si>
  <si>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</si>
  <si>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</si>
  <si>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</si>
  <si>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</si>
  <si>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</si>
  <si>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</si>
  <si>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</si>
  <si>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</si>
  <si>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</si>
  <si>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</si>
  <si>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</si>
  <si>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</si>
  <si>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</si>
  <si>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</si>
  <si>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</si>
  <si>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</si>
  <si>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</si>
  <si>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</si>
  <si>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</si>
  <si>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</si>
  <si>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</si>
  <si>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</si>
  <si>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</si>
  <si>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</si>
  <si>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</si>
  <si>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</si>
  <si>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</si>
  <si>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</si>
  <si>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</si>
  <si>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</si>
  <si>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</si>
  <si>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</si>
  <si>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</si>
  <si>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</si>
  <si>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</si>
  <si>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</si>
  <si>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</si>
  <si>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</si>
  <si>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</si>
  <si>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</si>
  <si>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</si>
  <si>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</si>
  <si>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</si>
  <si>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</si>
  <si>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</si>
  <si>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</si>
  <si>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</si>
  <si>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</si>
  <si>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</si>
  <si>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</si>
  <si>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</si>
  <si>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</si>
  <si>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</si>
  <si>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</si>
  <si>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</si>
  <si>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</si>
  <si>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</si>
  <si>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</si>
  <si>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</si>
  <si>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</si>
  <si>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</si>
  <si>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</si>
  <si>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</si>
  <si>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</si>
  <si>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</si>
  <si>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</si>
  <si>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</si>
  <si>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</si>
  <si>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</si>
  <si>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</si>
  <si>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</si>
  <si>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</si>
  <si>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</si>
  <si>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</si>
  <si>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</si>
  <si>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Dihydroartemisinin</t>
  </si>
  <si>
    <t>D5-3</t>
  </si>
  <si>
    <t>Piperquine Phosphate</t>
  </si>
  <si>
    <t>P9-3</t>
  </si>
  <si>
    <t>Dr. Sarah Mwangi</t>
  </si>
  <si>
    <t>24th November 2015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</si>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</sst>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66" fontId="13" fillId="3" borderId="34" xfId="0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right"/>
    </xf>
    <xf numFmtId="0" fontId="5" fillId="2" borderId="59" xfId="0" applyFont="1" applyFill="1" applyBorder="1" applyAlignment="1">
      <alignment horizontal="center"/>
    </xf>
    <xf numFmtId="10" fontId="11" fillId="2" borderId="60" xfId="0" applyNumberFormat="1" applyFont="1" applyFill="1" applyBorder="1" applyAlignment="1">
      <alignment horizontal="center" vertical="center"/>
    </xf>
    <xf numFmtId="10" fontId="11" fillId="2" borderId="61" xfId="0" applyNumberFormat="1" applyFont="1" applyFill="1" applyBorder="1" applyAlignment="1">
      <alignment horizontal="center" vertical="center"/>
    </xf>
    <xf numFmtId="10" fontId="11" fillId="2" borderId="62" xfId="0" applyNumberFormat="1" applyFont="1" applyFill="1" applyBorder="1" applyAlignment="1">
      <alignment horizontal="center" vertical="center"/>
    </xf>
    <xf numFmtId="166" fontId="11" fillId="2" borderId="4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6" fontId="1" fillId="2" borderId="0" xfId="0" applyNumberFormat="1" applyFont="1" applyFill="1"/>
    <xf numFmtId="14" fontId="12" fillId="2" borderId="11" xfId="0" applyNumberFormat="1" applyFont="1" applyFill="1" applyBorder="1"/>
    <xf numFmtId="0" fontId="6" fillId="2" borderId="0" xfId="0" applyFont="1" applyFill="1" applyAlignment="1">
      <alignment horizontal="right"/>
    </xf>
    <xf numFmtId="0" fontId="6" fillId="3" borderId="3" xfId="0" applyFont="1" applyFill="1" applyBorder="1" applyAlignment="1" applyProtection="1">
      <alignment horizontal="center"/>
      <protection locked="0"/>
    </xf>
    <xf numFmtId="173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173" fontId="6" fillId="3" borderId="5" xfId="0" applyNumberFormat="1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Normal="100" zoomScaleSheetLayoutView="100" workbookViewId="0">
      <selection activeCell="C37" sqref="C37"/>
    </sheetView>
  </sheetViews>
  <sheetFormatPr defaultRowHeight="15.75" x14ac:dyDescent="0.25"/>
  <cols>
    <col min="1" max="1" width="27.5703125" style="59" customWidth="1"/>
    <col min="2" max="2" width="20.42578125" style="59" customWidth="1"/>
    <col min="3" max="3" width="31.85546875" style="59" customWidth="1"/>
    <col min="4" max="4" width="25.85546875" style="59" customWidth="1"/>
    <col min="5" max="5" width="25.7109375" style="59" customWidth="1"/>
    <col min="6" max="6" width="23.140625" style="59" customWidth="1"/>
    <col min="7" max="7" width="28.42578125" style="59" customWidth="1"/>
    <col min="8" max="8" width="21.5703125" style="59" customWidth="1"/>
    <col min="9" max="9" width="9.140625" style="59" customWidth="1"/>
    <col min="10" max="16384" width="9.140625" style="53"/>
  </cols>
  <sheetData>
    <row r="14" spans="1:6" ht="15" customHeight="1" x14ac:dyDescent="0.3">
      <c r="A14" s="62"/>
      <c r="C14" s="509"/>
      <c r="F14" s="509"/>
    </row>
    <row r="15" spans="1:6" ht="18.75" customHeight="1" x14ac:dyDescent="0.3">
      <c r="A15" s="462" t="s">
        <v>0</v>
      </c>
      <c r="B15" s="462"/>
      <c r="C15" s="462"/>
      <c r="D15" s="462"/>
      <c r="E15" s="462"/>
    </row>
    <row r="16" spans="1:6" ht="16.5" customHeight="1" x14ac:dyDescent="0.3">
      <c r="A16" s="77" t="s">
        <v>1</v>
      </c>
      <c r="B16" s="46" t="s">
        <v>2</v>
      </c>
    </row>
    <row r="17" spans="1:5" ht="16.5" customHeight="1" x14ac:dyDescent="0.3">
      <c r="A17" s="4" t="s">
        <v>3</v>
      </c>
      <c r="B17" s="4"/>
      <c r="D17" s="5"/>
    </row>
    <row r="18" spans="1:5" ht="16.5" customHeight="1" x14ac:dyDescent="0.3">
      <c r="A18" s="62" t="s">
        <v>4</v>
      </c>
      <c r="B18" s="4" t="s">
        <v>5</v>
      </c>
    </row>
    <row r="19" spans="1:5" ht="16.5" customHeight="1" x14ac:dyDescent="0.3">
      <c r="A19" s="62" t="s">
        <v>6</v>
      </c>
      <c r="B19" s="6" t="s">
        <v>7</v>
      </c>
    </row>
    <row r="20" spans="1:5" ht="16.5" customHeight="1" x14ac:dyDescent="0.3">
      <c r="A20" s="4" t="s">
        <v>8</v>
      </c>
      <c r="B20" s="6">
        <f>'Piperaquine Phosphate'!D43</f>
        <v>17.010000000000002</v>
      </c>
    </row>
    <row r="21" spans="1:5" ht="16.5" customHeight="1" x14ac:dyDescent="0.3">
      <c r="A21" s="4" t="s">
        <v>10</v>
      </c>
      <c r="B21" s="7">
        <f>B20/'Piperaquine Phosphate'!B45</f>
        <v>3.4020000000000002E-2</v>
      </c>
    </row>
    <row r="22" spans="1:5" ht="15.75" customHeight="1" x14ac:dyDescent="0.25">
      <c r="B22" s="59" t="s">
        <v>12</v>
      </c>
    </row>
    <row r="23" spans="1:5" ht="16.5" customHeight="1" x14ac:dyDescent="0.3">
      <c r="A23" s="10" t="s">
        <v>13</v>
      </c>
      <c r="B23" s="9" t="s">
        <v>14</v>
      </c>
      <c r="C23" s="10" t="s">
        <v>15</v>
      </c>
      <c r="D23" s="10" t="s">
        <v>16</v>
      </c>
      <c r="E23" s="10" t="s">
        <v>17</v>
      </c>
    </row>
    <row r="24" spans="1:5" ht="16.5" customHeight="1" x14ac:dyDescent="0.25">
      <c r="A24" s="11">
        <v>1</v>
      </c>
      <c r="B24" s="510">
        <v>21648108</v>
      </c>
      <c r="C24" s="511">
        <v>11450.2</v>
      </c>
      <c r="D24" s="512">
        <v>0.7</v>
      </c>
      <c r="E24" s="513">
        <v>5.5</v>
      </c>
    </row>
    <row r="25" spans="1:5" ht="16.5" customHeight="1" x14ac:dyDescent="0.25">
      <c r="A25" s="11">
        <v>2</v>
      </c>
      <c r="B25" s="510">
        <v>21674470</v>
      </c>
      <c r="C25" s="511">
        <v>11443</v>
      </c>
      <c r="D25" s="512">
        <v>0.7</v>
      </c>
      <c r="E25" s="512">
        <v>5.5</v>
      </c>
    </row>
    <row r="26" spans="1:5" ht="16.5" customHeight="1" x14ac:dyDescent="0.25">
      <c r="A26" s="11">
        <v>3</v>
      </c>
      <c r="B26" s="510">
        <v>21545081</v>
      </c>
      <c r="C26" s="511">
        <v>11384.2</v>
      </c>
      <c r="D26" s="512">
        <v>0.7</v>
      </c>
      <c r="E26" s="512">
        <v>5.5</v>
      </c>
    </row>
    <row r="27" spans="1:5" ht="16.5" customHeight="1" x14ac:dyDescent="0.25">
      <c r="A27" s="11">
        <v>4</v>
      </c>
      <c r="B27" s="510">
        <v>21565015</v>
      </c>
      <c r="C27" s="511">
        <v>11261.3</v>
      </c>
      <c r="D27" s="512">
        <v>0.7</v>
      </c>
      <c r="E27" s="512">
        <v>5.5</v>
      </c>
    </row>
    <row r="28" spans="1:5" ht="16.5" customHeight="1" x14ac:dyDescent="0.25">
      <c r="A28" s="11">
        <v>5</v>
      </c>
      <c r="B28" s="510">
        <v>21558314</v>
      </c>
      <c r="C28" s="511">
        <v>11220.8</v>
      </c>
      <c r="D28" s="512">
        <v>0.7</v>
      </c>
      <c r="E28" s="512">
        <v>5.5</v>
      </c>
    </row>
    <row r="29" spans="1:5" ht="16.5" customHeight="1" x14ac:dyDescent="0.25">
      <c r="A29" s="11">
        <v>6</v>
      </c>
      <c r="B29" s="514">
        <v>21627597</v>
      </c>
      <c r="C29" s="515">
        <v>11131</v>
      </c>
      <c r="D29" s="516">
        <v>0.7</v>
      </c>
      <c r="E29" s="516">
        <v>5.5</v>
      </c>
    </row>
    <row r="30" spans="1:5" ht="16.5" customHeight="1" x14ac:dyDescent="0.3">
      <c r="A30" s="17" t="s">
        <v>18</v>
      </c>
      <c r="B30" s="18">
        <f>AVERAGE(B24:B29)</f>
        <v>21603097.5</v>
      </c>
      <c r="C30" s="19">
        <f>AVERAGE(C24:C29)</f>
        <v>11315.083333333334</v>
      </c>
      <c r="D30" s="20">
        <f>AVERAGE(D24:D29)</f>
        <v>0.70000000000000007</v>
      </c>
      <c r="E30" s="20">
        <f>AVERAGE(E24:E29)</f>
        <v>5.5</v>
      </c>
    </row>
    <row r="31" spans="1:5" ht="16.5" customHeight="1" x14ac:dyDescent="0.3">
      <c r="A31" s="21" t="s">
        <v>19</v>
      </c>
      <c r="B31" s="22">
        <f>(STDEV(B24:B29)/B30)</f>
        <v>2.4963783352410403E-3</v>
      </c>
      <c r="C31" s="23"/>
      <c r="D31" s="23"/>
      <c r="E31" s="24"/>
    </row>
    <row r="32" spans="1:5" s="59" customFormat="1" ht="16.5" customHeight="1" x14ac:dyDescent="0.3">
      <c r="A32" s="25" t="s">
        <v>20</v>
      </c>
      <c r="B32" s="26">
        <f>COUNT(B24:B29)</f>
        <v>6</v>
      </c>
      <c r="C32" s="27"/>
      <c r="D32" s="60"/>
      <c r="E32" s="28"/>
    </row>
    <row r="33" spans="1:5" s="59" customFormat="1" ht="15.75" customHeight="1" x14ac:dyDescent="0.25"/>
    <row r="34" spans="1:5" s="59" customFormat="1" ht="16.5" customHeight="1" x14ac:dyDescent="0.3">
      <c r="A34" s="62" t="s">
        <v>21</v>
      </c>
      <c r="B34" s="30" t="s">
        <v>22</v>
      </c>
      <c r="C34" s="29"/>
      <c r="D34" s="29"/>
      <c r="E34" s="29"/>
    </row>
    <row r="35" spans="1:5" ht="16.5" customHeight="1" x14ac:dyDescent="0.3">
      <c r="A35" s="62"/>
      <c r="B35" s="30" t="s">
        <v>23</v>
      </c>
      <c r="C35" s="29"/>
      <c r="D35" s="29"/>
      <c r="E35" s="29"/>
    </row>
    <row r="36" spans="1:5" ht="16.5" customHeight="1" x14ac:dyDescent="0.3">
      <c r="A36" s="62"/>
      <c r="B36" s="30" t="s">
        <v>24</v>
      </c>
      <c r="C36" s="29"/>
      <c r="D36" s="29"/>
      <c r="E36" s="29"/>
    </row>
    <row r="37" spans="1:5" ht="15.75" customHeight="1" x14ac:dyDescent="0.25"/>
    <row r="38" spans="1:5" ht="16.5" customHeight="1" x14ac:dyDescent="0.3">
      <c r="A38" s="77" t="s">
        <v>1</v>
      </c>
      <c r="B38" s="46" t="s">
        <v>25</v>
      </c>
    </row>
    <row r="39" spans="1:5" ht="16.5" customHeight="1" x14ac:dyDescent="0.3">
      <c r="A39" s="62" t="s">
        <v>4</v>
      </c>
      <c r="B39" s="4"/>
    </row>
    <row r="40" spans="1:5" ht="16.5" customHeight="1" x14ac:dyDescent="0.3">
      <c r="A40" s="62" t="s">
        <v>6</v>
      </c>
      <c r="B40" s="6"/>
    </row>
    <row r="41" spans="1:5" ht="16.5" customHeight="1" x14ac:dyDescent="0.3">
      <c r="A41" s="4" t="s">
        <v>8</v>
      </c>
      <c r="B41" s="6"/>
    </row>
    <row r="42" spans="1:5" ht="16.5" customHeight="1" x14ac:dyDescent="0.3">
      <c r="A42" s="4" t="s">
        <v>10</v>
      </c>
      <c r="B42" s="7"/>
    </row>
    <row r="43" spans="1:5" ht="15.75" customHeight="1" x14ac:dyDescent="0.25"/>
    <row r="44" spans="1:5" ht="16.5" customHeight="1" x14ac:dyDescent="0.3">
      <c r="A44" s="10" t="s">
        <v>13</v>
      </c>
      <c r="B44" s="9" t="s">
        <v>14</v>
      </c>
      <c r="C44" s="10" t="s">
        <v>15</v>
      </c>
      <c r="D44" s="10" t="s">
        <v>16</v>
      </c>
      <c r="E44" s="10" t="s">
        <v>17</v>
      </c>
    </row>
    <row r="45" spans="1:5" ht="16.5" customHeight="1" x14ac:dyDescent="0.25">
      <c r="A45" s="11">
        <v>1</v>
      </c>
      <c r="B45" s="510"/>
      <c r="C45" s="510"/>
      <c r="D45" s="512"/>
      <c r="E45" s="513"/>
    </row>
    <row r="46" spans="1:5" ht="16.5" customHeight="1" x14ac:dyDescent="0.25">
      <c r="A46" s="11">
        <v>2</v>
      </c>
      <c r="B46" s="510"/>
      <c r="C46" s="510"/>
      <c r="D46" s="512"/>
      <c r="E46" s="512"/>
    </row>
    <row r="47" spans="1:5" ht="16.5" customHeight="1" x14ac:dyDescent="0.25">
      <c r="A47" s="11">
        <v>3</v>
      </c>
      <c r="B47" s="510"/>
      <c r="C47" s="510"/>
      <c r="D47" s="512"/>
      <c r="E47" s="512"/>
    </row>
    <row r="48" spans="1:5" ht="16.5" customHeight="1" x14ac:dyDescent="0.25">
      <c r="A48" s="11">
        <v>4</v>
      </c>
      <c r="B48" s="510"/>
      <c r="C48" s="510"/>
      <c r="D48" s="512"/>
      <c r="E48" s="512"/>
    </row>
    <row r="49" spans="1:7" ht="16.5" customHeight="1" x14ac:dyDescent="0.25">
      <c r="A49" s="11">
        <v>5</v>
      </c>
      <c r="B49" s="510"/>
      <c r="C49" s="510"/>
      <c r="D49" s="512"/>
      <c r="E49" s="512"/>
    </row>
    <row r="50" spans="1:7" ht="16.5" customHeight="1" x14ac:dyDescent="0.25">
      <c r="A50" s="11">
        <v>6</v>
      </c>
      <c r="B50" s="514"/>
      <c r="C50" s="514"/>
      <c r="D50" s="516"/>
      <c r="E50" s="516"/>
    </row>
    <row r="51" spans="1:7" ht="16.5" customHeight="1" x14ac:dyDescent="0.3">
      <c r="A51" s="17" t="s">
        <v>18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</row>
    <row r="52" spans="1:7" ht="16.5" customHeight="1" x14ac:dyDescent="0.3">
      <c r="A52" s="21" t="s">
        <v>19</v>
      </c>
      <c r="B52" s="22" t="e">
        <f>(STDEV(B45:B50)/B51)</f>
        <v>#DIV/0!</v>
      </c>
      <c r="C52" s="23"/>
      <c r="D52" s="23"/>
      <c r="E52" s="24"/>
    </row>
    <row r="53" spans="1:7" s="59" customFormat="1" ht="16.5" customHeight="1" x14ac:dyDescent="0.3">
      <c r="A53" s="25" t="s">
        <v>20</v>
      </c>
      <c r="B53" s="26">
        <f>COUNT(B45:B50)</f>
        <v>0</v>
      </c>
      <c r="C53" s="27"/>
      <c r="D53" s="60"/>
      <c r="E53" s="28"/>
    </row>
    <row r="54" spans="1:7" s="59" customFormat="1" ht="15.75" customHeight="1" x14ac:dyDescent="0.25"/>
    <row r="55" spans="1:7" s="59" customFormat="1" ht="16.5" customHeight="1" x14ac:dyDescent="0.3">
      <c r="A55" s="62" t="s">
        <v>21</v>
      </c>
      <c r="B55" s="30" t="s">
        <v>22</v>
      </c>
      <c r="C55" s="29"/>
      <c r="D55" s="29"/>
      <c r="E55" s="29"/>
    </row>
    <row r="56" spans="1:7" ht="16.5" customHeight="1" x14ac:dyDescent="0.3">
      <c r="A56" s="62"/>
      <c r="B56" s="30" t="s">
        <v>23</v>
      </c>
      <c r="C56" s="29"/>
      <c r="D56" s="29"/>
      <c r="E56" s="29"/>
    </row>
    <row r="57" spans="1:7" ht="16.5" customHeight="1" x14ac:dyDescent="0.3">
      <c r="A57" s="62"/>
      <c r="B57" s="30" t="s">
        <v>24</v>
      </c>
      <c r="C57" s="29"/>
      <c r="D57" s="29"/>
      <c r="E57" s="29"/>
    </row>
    <row r="58" spans="1:7" ht="14.25" customHeight="1" x14ac:dyDescent="0.25">
      <c r="A58" s="50"/>
      <c r="B58" s="51"/>
      <c r="D58" s="52"/>
      <c r="F58" s="53"/>
      <c r="G58" s="53"/>
    </row>
    <row r="59" spans="1:7" ht="15" customHeight="1" x14ac:dyDescent="0.3">
      <c r="B59" s="517" t="s">
        <v>26</v>
      </c>
      <c r="C59" s="517"/>
      <c r="E59" s="55" t="s">
        <v>27</v>
      </c>
      <c r="F59" s="56"/>
      <c r="G59" s="55" t="s">
        <v>28</v>
      </c>
    </row>
    <row r="60" spans="1:7" ht="15" customHeight="1" x14ac:dyDescent="0.3">
      <c r="A60" s="452" t="s">
        <v>29</v>
      </c>
      <c r="B60" s="60"/>
      <c r="C60" s="60"/>
      <c r="E60" s="60"/>
      <c r="G60" s="60"/>
    </row>
    <row r="61" spans="1:7" ht="15" customHeight="1" x14ac:dyDescent="0.3">
      <c r="A61" s="452" t="s">
        <v>30</v>
      </c>
      <c r="B61" s="61"/>
      <c r="C61" s="61"/>
      <c r="E61" s="61"/>
      <c r="G61" s="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zoomScaleNormal="100" workbookViewId="0">
      <selection activeCell="B22" sqref="B22"/>
    </sheetView>
  </sheetViews>
  <sheetFormatPr defaultRowHeight="13.5" x14ac:dyDescent="0.25"/>
  <cols>
    <col min="1" max="1" width="27.5703125" style="392" customWidth="1"/>
    <col min="2" max="2" width="20.42578125" style="392" customWidth="1"/>
    <col min="3" max="3" width="31.85546875" style="392" customWidth="1"/>
    <col min="4" max="4" width="25.85546875" style="392" customWidth="1"/>
    <col min="5" max="5" width="25.7109375" style="392" customWidth="1"/>
    <col min="6" max="6" width="23.140625" style="392" customWidth="1"/>
    <col min="7" max="7" width="28.42578125" style="392" customWidth="1"/>
    <col min="8" max="8" width="21.5703125" style="392" customWidth="1"/>
    <col min="9" max="9" width="9.140625" style="392" customWidth="1"/>
    <col min="10" max="16384" width="9.140625" style="3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8" t="s">
        <v>0</v>
      </c>
      <c r="B15" s="458"/>
      <c r="C15" s="458"/>
      <c r="D15" s="458"/>
      <c r="E15" s="458"/>
    </row>
    <row r="16" spans="1:6" ht="16.5" customHeight="1" x14ac:dyDescent="0.3">
      <c r="A16" s="77" t="s">
        <v>1</v>
      </c>
      <c r="B16" s="46" t="s">
        <v>2</v>
      </c>
    </row>
    <row r="17" spans="1:5" ht="16.5" customHeight="1" x14ac:dyDescent="0.3">
      <c r="A17" s="4" t="s">
        <v>3</v>
      </c>
      <c r="B17" s="4"/>
      <c r="D17" s="5"/>
      <c r="E17" s="59"/>
    </row>
    <row r="18" spans="1:5" ht="16.5" customHeight="1" x14ac:dyDescent="0.3">
      <c r="A18" s="62" t="s">
        <v>4</v>
      </c>
      <c r="B18" s="4" t="s">
        <v>5</v>
      </c>
      <c r="C18" s="59"/>
      <c r="D18" s="59"/>
      <c r="E18" s="59"/>
    </row>
    <row r="19" spans="1:5" ht="16.5" customHeight="1" x14ac:dyDescent="0.3">
      <c r="A19" s="62" t="s">
        <v>6</v>
      </c>
      <c r="B19" s="6" t="s">
        <v>7</v>
      </c>
      <c r="C19" s="59"/>
      <c r="D19" s="59"/>
      <c r="E19" s="59"/>
    </row>
    <row r="20" spans="1:5" ht="16.5" customHeight="1" x14ac:dyDescent="0.3">
      <c r="A20" s="4" t="s">
        <v>8</v>
      </c>
      <c r="B20" s="6">
        <f>Dihydroartemisinin!D43</f>
        <v>16.04</v>
      </c>
      <c r="C20" s="59"/>
      <c r="D20" s="59"/>
      <c r="E20" s="59"/>
    </row>
    <row r="21" spans="1:5" ht="16.5" customHeight="1" x14ac:dyDescent="0.3">
      <c r="A21" s="4" t="s">
        <v>10</v>
      </c>
      <c r="B21" s="7">
        <f>B20/Dihydroartemisinin!B45</f>
        <v>0.80199999999999994</v>
      </c>
      <c r="C21" s="59"/>
      <c r="D21" s="59"/>
      <c r="E21" s="59"/>
    </row>
    <row r="22" spans="1:5" ht="15.75" customHeight="1" x14ac:dyDescent="0.25">
      <c r="A22" s="59"/>
      <c r="B22" s="59" t="s">
        <v>12</v>
      </c>
      <c r="C22" s="59"/>
      <c r="D22" s="59"/>
      <c r="E22" s="59"/>
    </row>
    <row r="23" spans="1:5" ht="16.5" customHeight="1" x14ac:dyDescent="0.3">
      <c r="A23" s="10" t="s">
        <v>13</v>
      </c>
      <c r="B23" s="9" t="s">
        <v>14</v>
      </c>
      <c r="C23" s="10" t="s">
        <v>15</v>
      </c>
      <c r="D23" s="10" t="s">
        <v>16</v>
      </c>
      <c r="E23" s="10" t="s">
        <v>17</v>
      </c>
    </row>
    <row r="24" spans="1:5" ht="16.5" customHeight="1" x14ac:dyDescent="0.3">
      <c r="A24" s="11">
        <v>1</v>
      </c>
      <c r="B24" s="12">
        <v>12643503</v>
      </c>
      <c r="C24" s="450">
        <v>3842.9</v>
      </c>
      <c r="D24" s="13">
        <v>0.8</v>
      </c>
      <c r="E24" s="14">
        <v>4.3</v>
      </c>
    </row>
    <row r="25" spans="1:5" ht="16.5" customHeight="1" x14ac:dyDescent="0.3">
      <c r="A25" s="11">
        <v>2</v>
      </c>
      <c r="B25" s="12">
        <v>12405325</v>
      </c>
      <c r="C25" s="450">
        <v>3831.6</v>
      </c>
      <c r="D25" s="13">
        <v>0.8</v>
      </c>
      <c r="E25" s="13">
        <v>4.3</v>
      </c>
    </row>
    <row r="26" spans="1:5" ht="16.5" customHeight="1" x14ac:dyDescent="0.3">
      <c r="A26" s="11">
        <v>3</v>
      </c>
      <c r="B26" s="12">
        <v>12314964</v>
      </c>
      <c r="C26" s="450">
        <v>3905.5</v>
      </c>
      <c r="D26" s="13">
        <v>0.8</v>
      </c>
      <c r="E26" s="13">
        <v>4.3</v>
      </c>
    </row>
    <row r="27" spans="1:5" ht="16.5" customHeight="1" x14ac:dyDescent="0.3">
      <c r="A27" s="11">
        <v>4</v>
      </c>
      <c r="B27" s="12">
        <v>12236419</v>
      </c>
      <c r="C27" s="450">
        <v>3943.9</v>
      </c>
      <c r="D27" s="13">
        <v>0.8</v>
      </c>
      <c r="E27" s="13">
        <v>4.3</v>
      </c>
    </row>
    <row r="28" spans="1:5" ht="16.5" customHeight="1" x14ac:dyDescent="0.3">
      <c r="A28" s="11">
        <v>5</v>
      </c>
      <c r="B28" s="12">
        <v>12307193</v>
      </c>
      <c r="C28" s="450">
        <v>3927.4</v>
      </c>
      <c r="D28" s="13">
        <v>0.8</v>
      </c>
      <c r="E28" s="13">
        <v>4.3</v>
      </c>
    </row>
    <row r="29" spans="1:5" ht="16.5" customHeight="1" x14ac:dyDescent="0.3">
      <c r="A29" s="11">
        <v>6</v>
      </c>
      <c r="B29" s="12">
        <v>12346927</v>
      </c>
      <c r="C29" s="451">
        <v>3913.2</v>
      </c>
      <c r="D29" s="16">
        <v>0.8</v>
      </c>
      <c r="E29" s="16">
        <v>4.3</v>
      </c>
    </row>
    <row r="30" spans="1:5" ht="16.5" customHeight="1" x14ac:dyDescent="0.3">
      <c r="A30" s="17" t="s">
        <v>18</v>
      </c>
      <c r="B30" s="18">
        <f>AVERAGE(B24:B29)</f>
        <v>12375721.833333334</v>
      </c>
      <c r="C30" s="19">
        <f>AVERAGE(C24:C29)</f>
        <v>3894.0833333333335</v>
      </c>
      <c r="D30" s="20">
        <f>AVERAGE(D24:D29)</f>
        <v>0.79999999999999993</v>
      </c>
      <c r="E30" s="20">
        <f>AVERAGE(E24:E29)</f>
        <v>4.3</v>
      </c>
    </row>
    <row r="31" spans="1:5" ht="16.5" customHeight="1" x14ac:dyDescent="0.3">
      <c r="A31" s="21" t="s">
        <v>19</v>
      </c>
      <c r="B31" s="22">
        <f>(STDEV(B24:B29)/B30)</f>
        <v>1.1495978778823036E-2</v>
      </c>
      <c r="C31" s="23"/>
      <c r="D31" s="23"/>
      <c r="E31" s="24"/>
    </row>
    <row r="32" spans="1:5" s="392" customFormat="1" ht="16.5" customHeight="1" x14ac:dyDescent="0.3">
      <c r="A32" s="25" t="s">
        <v>20</v>
      </c>
      <c r="B32" s="26">
        <f>COUNT(B24:B29)</f>
        <v>6</v>
      </c>
      <c r="C32" s="27"/>
      <c r="D32" s="60"/>
      <c r="E32" s="28"/>
    </row>
    <row r="33" spans="1:5" s="392" customFormat="1" ht="15.75" customHeight="1" x14ac:dyDescent="0.25">
      <c r="A33" s="59"/>
      <c r="B33" s="59"/>
      <c r="C33" s="59"/>
      <c r="D33" s="59"/>
      <c r="E33" s="59"/>
    </row>
    <row r="34" spans="1:5" s="392" customFormat="1" ht="16.5" customHeight="1" x14ac:dyDescent="0.3">
      <c r="A34" s="62" t="s">
        <v>21</v>
      </c>
      <c r="B34" s="30" t="s">
        <v>22</v>
      </c>
      <c r="C34" s="29"/>
      <c r="D34" s="29"/>
      <c r="E34" s="29"/>
    </row>
    <row r="35" spans="1:5" ht="16.5" customHeight="1" x14ac:dyDescent="0.3">
      <c r="A35" s="62"/>
      <c r="B35" s="30" t="s">
        <v>23</v>
      </c>
      <c r="C35" s="29"/>
      <c r="D35" s="29"/>
      <c r="E35" s="29"/>
    </row>
    <row r="36" spans="1:5" ht="16.5" customHeight="1" x14ac:dyDescent="0.3">
      <c r="A36" s="62"/>
      <c r="B36" s="30" t="s">
        <v>24</v>
      </c>
      <c r="C36" s="29"/>
      <c r="D36" s="29"/>
      <c r="E36" s="29"/>
    </row>
    <row r="37" spans="1:5" ht="15.75" customHeight="1" x14ac:dyDescent="0.25">
      <c r="A37" s="59"/>
      <c r="B37" s="59"/>
      <c r="C37" s="59"/>
      <c r="D37" s="59"/>
      <c r="E37" s="59"/>
    </row>
    <row r="38" spans="1:5" ht="16.5" customHeight="1" x14ac:dyDescent="0.3">
      <c r="A38" s="77" t="s">
        <v>1</v>
      </c>
      <c r="B38" s="46" t="s">
        <v>25</v>
      </c>
    </row>
    <row r="39" spans="1:5" ht="16.5" customHeight="1" x14ac:dyDescent="0.3">
      <c r="A39" s="62" t="s">
        <v>4</v>
      </c>
      <c r="B39" s="4"/>
      <c r="C39" s="59"/>
      <c r="D39" s="59"/>
      <c r="E39" s="59"/>
    </row>
    <row r="40" spans="1:5" ht="16.5" customHeight="1" x14ac:dyDescent="0.3">
      <c r="A40" s="62" t="s">
        <v>6</v>
      </c>
      <c r="B40" s="6"/>
      <c r="C40" s="59"/>
      <c r="D40" s="59"/>
      <c r="E40" s="59"/>
    </row>
    <row r="41" spans="1:5" ht="16.5" customHeight="1" x14ac:dyDescent="0.3">
      <c r="A41" s="4" t="s">
        <v>8</v>
      </c>
      <c r="B41" s="6"/>
      <c r="C41" s="59"/>
      <c r="D41" s="59"/>
      <c r="E41" s="59"/>
    </row>
    <row r="42" spans="1:5" ht="16.5" customHeight="1" x14ac:dyDescent="0.3">
      <c r="A42" s="4" t="s">
        <v>10</v>
      </c>
      <c r="B42" s="7"/>
      <c r="C42" s="59"/>
      <c r="D42" s="59"/>
      <c r="E42" s="59"/>
    </row>
    <row r="43" spans="1:5" ht="15.75" customHeight="1" x14ac:dyDescent="0.25">
      <c r="A43" s="59"/>
      <c r="B43" s="59"/>
      <c r="C43" s="59"/>
      <c r="D43" s="59"/>
      <c r="E43" s="59"/>
    </row>
    <row r="44" spans="1:5" ht="16.5" customHeight="1" x14ac:dyDescent="0.3">
      <c r="A44" s="10" t="s">
        <v>13</v>
      </c>
      <c r="B44" s="9" t="s">
        <v>14</v>
      </c>
      <c r="C44" s="10" t="s">
        <v>15</v>
      </c>
      <c r="D44" s="10" t="s">
        <v>16</v>
      </c>
      <c r="E44" s="10" t="s">
        <v>17</v>
      </c>
    </row>
    <row r="45" spans="1:5" ht="16.5" customHeight="1" x14ac:dyDescent="0.3">
      <c r="A45" s="11">
        <v>1</v>
      </c>
      <c r="B45" s="12">
        <v>3628574</v>
      </c>
      <c r="C45" s="12">
        <v>6723.1</v>
      </c>
      <c r="D45" s="13">
        <v>1.1000000000000001</v>
      </c>
      <c r="E45" s="14">
        <v>4.3</v>
      </c>
    </row>
    <row r="46" spans="1:5" ht="16.5" customHeight="1" x14ac:dyDescent="0.3">
      <c r="A46" s="11">
        <v>2</v>
      </c>
      <c r="B46" s="12">
        <v>3604223</v>
      </c>
      <c r="C46" s="12">
        <v>6707.2</v>
      </c>
      <c r="D46" s="13">
        <v>1.1000000000000001</v>
      </c>
      <c r="E46" s="13">
        <v>4.3</v>
      </c>
    </row>
    <row r="47" spans="1:5" ht="16.5" customHeight="1" x14ac:dyDescent="0.3">
      <c r="A47" s="11">
        <v>3</v>
      </c>
      <c r="B47" s="12">
        <v>3618569</v>
      </c>
      <c r="C47" s="12">
        <v>6679.9</v>
      </c>
      <c r="D47" s="13">
        <v>1.1000000000000001</v>
      </c>
      <c r="E47" s="13">
        <v>4.3</v>
      </c>
    </row>
    <row r="48" spans="1:5" ht="16.5" customHeight="1" x14ac:dyDescent="0.3">
      <c r="A48" s="11">
        <v>4</v>
      </c>
      <c r="B48" s="12">
        <v>3603473</v>
      </c>
      <c r="C48" s="12">
        <v>6697.9</v>
      </c>
      <c r="D48" s="13">
        <v>1.1000000000000001</v>
      </c>
      <c r="E48" s="13">
        <v>4.3</v>
      </c>
    </row>
    <row r="49" spans="1:7" ht="16.5" customHeight="1" x14ac:dyDescent="0.3">
      <c r="A49" s="11">
        <v>5</v>
      </c>
      <c r="B49" s="12">
        <v>3622097</v>
      </c>
      <c r="C49" s="12">
        <v>6663.5</v>
      </c>
      <c r="D49" s="13">
        <v>1.1000000000000001</v>
      </c>
      <c r="E49" s="13">
        <v>4.3</v>
      </c>
    </row>
    <row r="50" spans="1:7" ht="16.5" customHeight="1" x14ac:dyDescent="0.3">
      <c r="A50" s="11">
        <v>6</v>
      </c>
      <c r="B50" s="15">
        <v>3618312</v>
      </c>
      <c r="C50" s="15">
        <v>6629.6</v>
      </c>
      <c r="D50" s="16">
        <v>1.1000000000000001</v>
      </c>
      <c r="E50" s="16">
        <v>4.3</v>
      </c>
    </row>
    <row r="51" spans="1:7" ht="16.5" customHeight="1" x14ac:dyDescent="0.3">
      <c r="A51" s="17" t="s">
        <v>18</v>
      </c>
      <c r="B51" s="18">
        <f>AVERAGE(B45:B50)</f>
        <v>3615874.6666666665</v>
      </c>
      <c r="C51" s="19">
        <f>AVERAGE(C45:C50)</f>
        <v>6683.5333333333328</v>
      </c>
      <c r="D51" s="20">
        <f>AVERAGE(D45:D50)</f>
        <v>1.0999999999999999</v>
      </c>
      <c r="E51" s="20">
        <f>AVERAGE(E45:E50)</f>
        <v>4.3</v>
      </c>
    </row>
    <row r="52" spans="1:7" ht="16.5" customHeight="1" x14ac:dyDescent="0.3">
      <c r="A52" s="21" t="s">
        <v>19</v>
      </c>
      <c r="B52" s="22">
        <f>(STDEV(B45:B50)/B51)</f>
        <v>2.7731863245385297E-3</v>
      </c>
      <c r="C52" s="23"/>
      <c r="D52" s="23"/>
      <c r="E52" s="24"/>
    </row>
    <row r="53" spans="1:7" s="392" customFormat="1" ht="16.5" customHeight="1" x14ac:dyDescent="0.3">
      <c r="A53" s="25" t="s">
        <v>20</v>
      </c>
      <c r="B53" s="26">
        <f>COUNT(B45:B50)</f>
        <v>6</v>
      </c>
      <c r="C53" s="27"/>
      <c r="D53" s="60"/>
      <c r="E53" s="28"/>
    </row>
    <row r="54" spans="1:7" s="392" customFormat="1" ht="15.75" customHeight="1" x14ac:dyDescent="0.25">
      <c r="A54" s="59"/>
      <c r="B54" s="59"/>
      <c r="C54" s="59"/>
      <c r="D54" s="59"/>
      <c r="E54" s="59"/>
    </row>
    <row r="55" spans="1:7" s="392" customFormat="1" ht="16.5" customHeight="1" x14ac:dyDescent="0.3">
      <c r="A55" s="62" t="s">
        <v>21</v>
      </c>
      <c r="B55" s="30" t="s">
        <v>22</v>
      </c>
      <c r="C55" s="29"/>
      <c r="D55" s="29"/>
      <c r="E55" s="29"/>
    </row>
    <row r="56" spans="1:7" ht="16.5" customHeight="1" x14ac:dyDescent="0.3">
      <c r="A56" s="62"/>
      <c r="B56" s="30" t="s">
        <v>23</v>
      </c>
      <c r="C56" s="29"/>
      <c r="D56" s="29"/>
      <c r="E56" s="29"/>
    </row>
    <row r="57" spans="1:7" ht="16.5" customHeight="1" x14ac:dyDescent="0.3">
      <c r="A57" s="62"/>
      <c r="B57" s="30" t="s">
        <v>24</v>
      </c>
      <c r="C57" s="29"/>
      <c r="D57" s="29"/>
      <c r="E57" s="29"/>
    </row>
    <row r="58" spans="1:7" ht="14.25" customHeight="1" thickBot="1" x14ac:dyDescent="0.3">
      <c r="A58" s="31"/>
      <c r="B58" s="316"/>
      <c r="D58" s="32"/>
      <c r="F58" s="33"/>
      <c r="G58" s="33"/>
    </row>
    <row r="59" spans="1:7" ht="15" customHeight="1" x14ac:dyDescent="0.3">
      <c r="B59" s="459" t="s">
        <v>26</v>
      </c>
      <c r="C59" s="459"/>
      <c r="E59" s="444" t="s">
        <v>27</v>
      </c>
      <c r="F59" s="34"/>
      <c r="G59" s="444" t="s">
        <v>28</v>
      </c>
    </row>
    <row r="60" spans="1:7" ht="15" customHeight="1" x14ac:dyDescent="0.3">
      <c r="A60" s="35" t="s">
        <v>29</v>
      </c>
      <c r="B60" s="36"/>
      <c r="C60" s="36" t="s">
        <v>129</v>
      </c>
      <c r="E60" s="36" t="s">
        <v>130</v>
      </c>
      <c r="G60" s="36"/>
    </row>
    <row r="61" spans="1:7" ht="15" customHeight="1" x14ac:dyDescent="0.3">
      <c r="A61" s="35" t="s">
        <v>30</v>
      </c>
      <c r="B61" s="37"/>
      <c r="C61" s="37"/>
      <c r="E61" s="37"/>
      <c r="G61" s="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opLeftCell="A28" zoomScaleNormal="100" zoomScaleSheetLayoutView="100" workbookViewId="0">
      <selection activeCell="H42" sqref="H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3" t="s">
        <v>31</v>
      </c>
      <c r="B11" s="464"/>
      <c r="C11" s="464"/>
      <c r="D11" s="464"/>
      <c r="E11" s="464"/>
      <c r="F11" s="465"/>
      <c r="G11" s="78"/>
    </row>
    <row r="12" spans="1:7" ht="16.5" customHeight="1" x14ac:dyDescent="0.3">
      <c r="A12" s="462" t="s">
        <v>32</v>
      </c>
      <c r="B12" s="462"/>
      <c r="C12" s="462"/>
      <c r="D12" s="462"/>
      <c r="E12" s="462"/>
      <c r="F12" s="462"/>
      <c r="G12" s="77"/>
    </row>
    <row r="14" spans="1:7" ht="16.5" customHeight="1" x14ac:dyDescent="0.3">
      <c r="A14" s="467" t="s">
        <v>33</v>
      </c>
      <c r="B14" s="467"/>
      <c r="C14" s="47" t="s">
        <v>5</v>
      </c>
    </row>
    <row r="15" spans="1:7" ht="16.5" customHeight="1" x14ac:dyDescent="0.3">
      <c r="A15" s="467" t="s">
        <v>34</v>
      </c>
      <c r="B15" s="467"/>
      <c r="C15" s="47" t="s">
        <v>7</v>
      </c>
    </row>
    <row r="16" spans="1:7" ht="16.5" customHeight="1" x14ac:dyDescent="0.3">
      <c r="A16" s="467" t="s">
        <v>35</v>
      </c>
      <c r="B16" s="467"/>
      <c r="C16" s="47" t="s">
        <v>9</v>
      </c>
    </row>
    <row r="17" spans="1:5" ht="16.5" customHeight="1" x14ac:dyDescent="0.3">
      <c r="A17" s="467" t="s">
        <v>36</v>
      </c>
      <c r="B17" s="467"/>
      <c r="C17" s="47" t="s">
        <v>11</v>
      </c>
    </row>
    <row r="18" spans="1:5" ht="16.5" customHeight="1" x14ac:dyDescent="0.3">
      <c r="A18" s="467" t="s">
        <v>37</v>
      </c>
      <c r="B18" s="467"/>
      <c r="C18" s="84">
        <v>42298</v>
      </c>
    </row>
    <row r="19" spans="1:5" ht="16.5" customHeight="1" x14ac:dyDescent="0.3">
      <c r="A19" s="467" t="s">
        <v>38</v>
      </c>
      <c r="B19" s="467"/>
      <c r="C19" s="84">
        <v>42317</v>
      </c>
    </row>
    <row r="20" spans="1:5" ht="16.5" customHeight="1" x14ac:dyDescent="0.3">
      <c r="A20" s="49"/>
      <c r="B20" s="49"/>
      <c r="C20" s="64"/>
    </row>
    <row r="21" spans="1:5" ht="16.5" customHeight="1" x14ac:dyDescent="0.3">
      <c r="A21" s="462" t="s">
        <v>1</v>
      </c>
      <c r="B21" s="462"/>
      <c r="C21" s="46" t="s">
        <v>39</v>
      </c>
      <c r="D21" s="53"/>
    </row>
    <row r="22" spans="1:5" ht="15.75" customHeight="1" x14ac:dyDescent="0.3">
      <c r="A22" s="466"/>
      <c r="B22" s="466"/>
      <c r="C22" s="44"/>
      <c r="D22" s="466"/>
      <c r="E22" s="466"/>
    </row>
    <row r="23" spans="1:5" ht="33.75" customHeight="1" x14ac:dyDescent="0.3">
      <c r="C23" s="73" t="s">
        <v>40</v>
      </c>
      <c r="D23" s="72" t="s">
        <v>41</v>
      </c>
      <c r="E23" s="39"/>
    </row>
    <row r="24" spans="1:5" ht="15.75" customHeight="1" x14ac:dyDescent="0.3">
      <c r="C24" s="82">
        <v>297.20999999999998</v>
      </c>
      <c r="D24" s="74">
        <f t="shared" ref="D24:D43" si="0">(C24-$C$46)/$C$46</f>
        <v>-9.5162556175235283E-3</v>
      </c>
      <c r="E24" s="40"/>
    </row>
    <row r="25" spans="1:5" ht="15.75" customHeight="1" x14ac:dyDescent="0.3">
      <c r="C25" s="82">
        <v>294.74</v>
      </c>
      <c r="D25" s="75">
        <f t="shared" si="0"/>
        <v>-1.7747791732138408E-2</v>
      </c>
      <c r="E25" s="40"/>
    </row>
    <row r="26" spans="1:5" ht="15.75" customHeight="1" x14ac:dyDescent="0.3">
      <c r="C26" s="82">
        <v>297.20999999999998</v>
      </c>
      <c r="D26" s="75">
        <f t="shared" si="0"/>
        <v>-9.5162556175235283E-3</v>
      </c>
      <c r="E26" s="40"/>
    </row>
    <row r="27" spans="1:5" ht="15.75" customHeight="1" x14ac:dyDescent="0.3">
      <c r="C27" s="82">
        <v>304.01</v>
      </c>
      <c r="D27" s="75">
        <f t="shared" si="0"/>
        <v>1.3145463240525835E-2</v>
      </c>
      <c r="E27" s="40"/>
    </row>
    <row r="28" spans="1:5" ht="15.75" customHeight="1" x14ac:dyDescent="0.3">
      <c r="C28" s="82">
        <v>302.77999999999997</v>
      </c>
      <c r="D28" s="75">
        <f t="shared" si="0"/>
        <v>9.046358211790383E-3</v>
      </c>
      <c r="E28" s="40"/>
    </row>
    <row r="29" spans="1:5" ht="15.75" customHeight="1" x14ac:dyDescent="0.3">
      <c r="C29" s="82">
        <v>303.33</v>
      </c>
      <c r="D29" s="75">
        <f t="shared" si="0"/>
        <v>1.087929135472088E-2</v>
      </c>
      <c r="E29" s="40"/>
    </row>
    <row r="30" spans="1:5" ht="15.75" customHeight="1" x14ac:dyDescent="0.3">
      <c r="C30" s="82">
        <v>300.87</v>
      </c>
      <c r="D30" s="75">
        <f t="shared" si="0"/>
        <v>2.6810812972501625E-3</v>
      </c>
      <c r="E30" s="40"/>
    </row>
    <row r="31" spans="1:5" ht="15.75" customHeight="1" x14ac:dyDescent="0.3">
      <c r="C31" s="82">
        <v>296.60000000000002</v>
      </c>
      <c r="D31" s="75">
        <f t="shared" si="0"/>
        <v>-1.1549145103318987E-2</v>
      </c>
      <c r="E31" s="40"/>
    </row>
    <row r="32" spans="1:5" ht="15.75" customHeight="1" x14ac:dyDescent="0.3">
      <c r="C32" s="82">
        <v>301.10000000000002</v>
      </c>
      <c r="D32" s="75">
        <f t="shared" si="0"/>
        <v>3.4475806115665977E-3</v>
      </c>
      <c r="E32" s="40"/>
    </row>
    <row r="33" spans="1:8" ht="15.75" customHeight="1" x14ac:dyDescent="0.3">
      <c r="C33" s="82">
        <v>306.68</v>
      </c>
      <c r="D33" s="75">
        <f t="shared" si="0"/>
        <v>2.2043520498024667E-2</v>
      </c>
      <c r="E33" s="40"/>
    </row>
    <row r="34" spans="1:8" ht="15.75" customHeight="1" x14ac:dyDescent="0.3">
      <c r="C34" s="82">
        <v>296.3</v>
      </c>
      <c r="D34" s="75">
        <f t="shared" si="0"/>
        <v>-1.254892681764473E-2</v>
      </c>
      <c r="E34" s="40"/>
    </row>
    <row r="35" spans="1:8" ht="15.75" customHeight="1" x14ac:dyDescent="0.3">
      <c r="C35" s="82">
        <v>299.29000000000002</v>
      </c>
      <c r="D35" s="75">
        <f t="shared" si="0"/>
        <v>-2.5844357315318338E-3</v>
      </c>
      <c r="E35" s="40"/>
    </row>
    <row r="36" spans="1:8" ht="15.75" customHeight="1" x14ac:dyDescent="0.3">
      <c r="C36" s="82">
        <v>298.89</v>
      </c>
      <c r="D36" s="75">
        <f t="shared" si="0"/>
        <v>-3.9174780172995553E-3</v>
      </c>
      <c r="E36" s="40"/>
    </row>
    <row r="37" spans="1:8" ht="15.75" customHeight="1" x14ac:dyDescent="0.3">
      <c r="C37" s="82">
        <v>301.3</v>
      </c>
      <c r="D37" s="75">
        <f t="shared" si="0"/>
        <v>4.1141017544503635E-3</v>
      </c>
      <c r="E37" s="40"/>
    </row>
    <row r="38" spans="1:8" ht="15.75" customHeight="1" x14ac:dyDescent="0.3">
      <c r="C38" s="82">
        <v>300.45</v>
      </c>
      <c r="D38" s="75">
        <f t="shared" si="0"/>
        <v>1.2813868971941218E-3</v>
      </c>
      <c r="E38" s="40"/>
    </row>
    <row r="39" spans="1:8" ht="15.75" customHeight="1" x14ac:dyDescent="0.3">
      <c r="C39" s="82">
        <v>299.37</v>
      </c>
      <c r="D39" s="75">
        <f t="shared" si="0"/>
        <v>-2.3178272743783652E-3</v>
      </c>
      <c r="E39" s="40"/>
    </row>
    <row r="40" spans="1:8" ht="15.75" customHeight="1" x14ac:dyDescent="0.3">
      <c r="C40" s="82">
        <v>297.60000000000002</v>
      </c>
      <c r="D40" s="75">
        <f t="shared" si="0"/>
        <v>-8.2165393888999679E-3</v>
      </c>
      <c r="E40" s="40"/>
    </row>
    <row r="41" spans="1:8" ht="15.75" customHeight="1" x14ac:dyDescent="0.3">
      <c r="C41" s="82">
        <v>302.82</v>
      </c>
      <c r="D41" s="75">
        <f t="shared" si="0"/>
        <v>9.1796624403672113E-3</v>
      </c>
      <c r="E41" s="40"/>
      <c r="H41" s="507"/>
    </row>
    <row r="42" spans="1:8" ht="15.75" customHeight="1" x14ac:dyDescent="0.3">
      <c r="C42" s="82">
        <v>297.7</v>
      </c>
      <c r="D42" s="75">
        <f t="shared" si="0"/>
        <v>-7.8832788174581798E-3</v>
      </c>
      <c r="E42" s="40"/>
    </row>
    <row r="43" spans="1:8" ht="16.5" customHeight="1" x14ac:dyDescent="0.3">
      <c r="C43" s="83">
        <v>303.06</v>
      </c>
      <c r="D43" s="76">
        <f t="shared" si="0"/>
        <v>9.9794878118278068E-3</v>
      </c>
      <c r="E43" s="40"/>
    </row>
    <row r="44" spans="1:8" ht="16.5" customHeight="1" x14ac:dyDescent="0.3">
      <c r="C44" s="41"/>
      <c r="D44" s="40"/>
      <c r="E44" s="42"/>
    </row>
    <row r="45" spans="1:8" ht="16.5" customHeight="1" x14ac:dyDescent="0.3">
      <c r="B45" s="69" t="s">
        <v>42</v>
      </c>
      <c r="C45" s="70">
        <f>SUM(C24:C44)</f>
        <v>6001.3099999999995</v>
      </c>
      <c r="D45" s="65"/>
      <c r="E45" s="41"/>
    </row>
    <row r="46" spans="1:8" ht="17.25" customHeight="1" x14ac:dyDescent="0.3">
      <c r="B46" s="69" t="s">
        <v>43</v>
      </c>
      <c r="C46" s="71">
        <f>AVERAGE(C24:C44)</f>
        <v>300.06549999999999</v>
      </c>
      <c r="E46" s="43"/>
    </row>
    <row r="47" spans="1:8" ht="17.25" customHeight="1" x14ac:dyDescent="0.3">
      <c r="A47" s="47"/>
      <c r="B47" s="66"/>
      <c r="D47" s="45"/>
      <c r="E47" s="43"/>
    </row>
    <row r="48" spans="1:8" ht="33.75" customHeight="1" x14ac:dyDescent="0.3">
      <c r="B48" s="79" t="s">
        <v>43</v>
      </c>
      <c r="C48" s="72" t="s">
        <v>44</v>
      </c>
      <c r="D48" s="67"/>
      <c r="G48" s="45"/>
    </row>
    <row r="49" spans="1:6" ht="17.25" customHeight="1" x14ac:dyDescent="0.3">
      <c r="B49" s="460">
        <f>C46</f>
        <v>300.06549999999999</v>
      </c>
      <c r="C49" s="80">
        <f>-IF(C46&lt;=80,10%,IF(C46&lt;250,7.5%,5%))</f>
        <v>-0.05</v>
      </c>
      <c r="D49" s="68">
        <f>IF(C46&lt;=80,C46*0.9,IF(C46&lt;250,C46*0.925,C46*0.95))</f>
        <v>285.06222499999996</v>
      </c>
    </row>
    <row r="50" spans="1:6" ht="17.25" customHeight="1" x14ac:dyDescent="0.3">
      <c r="B50" s="461"/>
      <c r="C50" s="81">
        <f>IF(C46&lt;=80, 10%, IF(C46&lt;250, 7.5%, 5%))</f>
        <v>0.05</v>
      </c>
      <c r="D50" s="68">
        <f>IF(C46&lt;=80, C46*1.1, IF(C46&lt;250, C46*1.075, C46*1.05))</f>
        <v>315.06877500000002</v>
      </c>
    </row>
    <row r="51" spans="1:6" ht="16.5" customHeight="1" x14ac:dyDescent="0.3">
      <c r="A51" s="50"/>
      <c r="B51" s="51"/>
      <c r="C51" s="47"/>
      <c r="D51" s="52"/>
      <c r="E51" s="47"/>
      <c r="F51" s="53"/>
    </row>
    <row r="52" spans="1:6" ht="16.5" customHeight="1" x14ac:dyDescent="0.3">
      <c r="A52" s="47"/>
      <c r="B52" s="54" t="s">
        <v>26</v>
      </c>
      <c r="C52" s="54"/>
      <c r="D52" s="55" t="s">
        <v>27</v>
      </c>
      <c r="E52" s="56"/>
      <c r="F52" s="55" t="s">
        <v>28</v>
      </c>
    </row>
    <row r="53" spans="1:6" ht="34.5" customHeight="1" x14ac:dyDescent="0.3">
      <c r="A53" s="57" t="s">
        <v>29</v>
      </c>
      <c r="B53" s="58"/>
      <c r="C53" s="59"/>
      <c r="D53" s="58"/>
      <c r="E53" s="48"/>
      <c r="F53" s="60"/>
    </row>
    <row r="54" spans="1:6" ht="34.5" customHeight="1" x14ac:dyDescent="0.3">
      <c r="A54" s="57" t="s">
        <v>30</v>
      </c>
      <c r="B54" s="61"/>
      <c r="C54" s="62"/>
      <c r="D54" s="61"/>
      <c r="E54" s="48"/>
      <c r="F54" s="6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108" zoomScale="70" zoomScaleNormal="70" zoomScaleSheetLayoutView="40" zoomScalePageLayoutView="55" workbookViewId="0">
      <selection activeCell="E125" sqref="E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8" t="s">
        <v>45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46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85"/>
    </row>
    <row r="16" spans="1:9" ht="19.5" customHeight="1" x14ac:dyDescent="0.3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47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87" t="s">
        <v>33</v>
      </c>
      <c r="B18" s="501" t="s">
        <v>5</v>
      </c>
      <c r="C18" s="501"/>
      <c r="D18" s="250"/>
      <c r="E18" s="88"/>
      <c r="F18" s="89"/>
      <c r="G18" s="89"/>
      <c r="H18" s="89"/>
    </row>
    <row r="19" spans="1:14" ht="26.25" customHeight="1" x14ac:dyDescent="0.4">
      <c r="A19" s="87" t="s">
        <v>34</v>
      </c>
      <c r="B19" s="90" t="s">
        <v>7</v>
      </c>
      <c r="C19" s="263">
        <v>29</v>
      </c>
      <c r="D19" s="89"/>
      <c r="E19" s="89"/>
      <c r="F19" s="89"/>
      <c r="G19" s="89"/>
      <c r="H19" s="89"/>
    </row>
    <row r="20" spans="1:14" ht="26.25" customHeight="1" x14ac:dyDescent="0.4">
      <c r="A20" s="87" t="s">
        <v>35</v>
      </c>
      <c r="B20" s="506" t="s">
        <v>9</v>
      </c>
      <c r="C20" s="506"/>
      <c r="D20" s="89"/>
      <c r="E20" s="89"/>
      <c r="F20" s="89"/>
      <c r="G20" s="89"/>
      <c r="H20" s="89"/>
    </row>
    <row r="21" spans="1:14" ht="26.25" customHeight="1" x14ac:dyDescent="0.4">
      <c r="A21" s="87" t="s">
        <v>36</v>
      </c>
      <c r="B21" s="506" t="s">
        <v>11</v>
      </c>
      <c r="C21" s="506"/>
      <c r="D21" s="506"/>
      <c r="E21" s="506"/>
      <c r="F21" s="506"/>
      <c r="G21" s="506"/>
      <c r="H21" s="506"/>
      <c r="I21" s="91"/>
    </row>
    <row r="22" spans="1:14" ht="26.25" customHeight="1" x14ac:dyDescent="0.4">
      <c r="A22" s="87" t="s">
        <v>37</v>
      </c>
      <c r="B22" s="92">
        <v>42298</v>
      </c>
      <c r="C22" s="89"/>
      <c r="D22" s="89"/>
      <c r="E22" s="89"/>
      <c r="F22" s="89"/>
      <c r="G22" s="89"/>
      <c r="H22" s="89"/>
    </row>
    <row r="23" spans="1:14" ht="26.25" customHeight="1" x14ac:dyDescent="0.4">
      <c r="A23" s="87" t="s">
        <v>38</v>
      </c>
      <c r="B23" s="92">
        <v>42332</v>
      </c>
      <c r="C23" s="89"/>
      <c r="D23" s="89"/>
      <c r="E23" s="89"/>
      <c r="F23" s="89"/>
      <c r="G23" s="89"/>
      <c r="H23" s="89"/>
    </row>
    <row r="24" spans="1:14" ht="18.75" x14ac:dyDescent="0.3">
      <c r="A24" s="87"/>
      <c r="B24" s="93"/>
    </row>
    <row r="25" spans="1:14" ht="18.75" x14ac:dyDescent="0.3">
      <c r="A25" s="94" t="s">
        <v>1</v>
      </c>
      <c r="B25" s="93"/>
    </row>
    <row r="26" spans="1:14" ht="26.25" customHeight="1" x14ac:dyDescent="0.4">
      <c r="A26" s="95" t="s">
        <v>4</v>
      </c>
      <c r="B26" s="501" t="s">
        <v>125</v>
      </c>
      <c r="C26" s="501"/>
    </row>
    <row r="27" spans="1:14" ht="26.25" customHeight="1" x14ac:dyDescent="0.4">
      <c r="A27" s="96" t="s">
        <v>48</v>
      </c>
      <c r="B27" s="499" t="s">
        <v>126</v>
      </c>
      <c r="C27" s="499"/>
    </row>
    <row r="28" spans="1:14" ht="27" customHeight="1" x14ac:dyDescent="0.4">
      <c r="A28" s="96" t="s">
        <v>6</v>
      </c>
      <c r="B28" s="97">
        <v>98.7</v>
      </c>
    </row>
    <row r="29" spans="1:14" s="8" customFormat="1" ht="27" customHeight="1" x14ac:dyDescent="0.4">
      <c r="A29" s="96" t="s">
        <v>49</v>
      </c>
      <c r="B29" s="98">
        <v>0</v>
      </c>
      <c r="C29" s="476" t="s">
        <v>50</v>
      </c>
      <c r="D29" s="477"/>
      <c r="E29" s="477"/>
      <c r="F29" s="477"/>
      <c r="G29" s="478"/>
      <c r="I29" s="99"/>
      <c r="J29" s="99"/>
      <c r="K29" s="99"/>
      <c r="L29" s="99"/>
    </row>
    <row r="30" spans="1:14" s="8" customFormat="1" ht="19.5" customHeight="1" x14ac:dyDescent="0.3">
      <c r="A30" s="96" t="s">
        <v>51</v>
      </c>
      <c r="B30" s="100">
        <f>B28-B29</f>
        <v>98.7</v>
      </c>
      <c r="C30" s="101"/>
      <c r="D30" s="101"/>
      <c r="E30" s="101"/>
      <c r="F30" s="101"/>
      <c r="G30" s="102"/>
      <c r="I30" s="99"/>
      <c r="J30" s="99"/>
      <c r="K30" s="99"/>
      <c r="L30" s="99"/>
    </row>
    <row r="31" spans="1:14" s="8" customFormat="1" ht="27" customHeight="1" x14ac:dyDescent="0.4">
      <c r="A31" s="96" t="s">
        <v>52</v>
      </c>
      <c r="B31" s="103">
        <v>1</v>
      </c>
      <c r="C31" s="479" t="s">
        <v>53</v>
      </c>
      <c r="D31" s="480"/>
      <c r="E31" s="480"/>
      <c r="F31" s="480"/>
      <c r="G31" s="480"/>
      <c r="H31" s="481"/>
      <c r="I31" s="99"/>
      <c r="J31" s="99"/>
      <c r="K31" s="99"/>
      <c r="L31" s="99"/>
    </row>
    <row r="32" spans="1:14" s="8" customFormat="1" ht="27" customHeight="1" x14ac:dyDescent="0.4">
      <c r="A32" s="96" t="s">
        <v>54</v>
      </c>
      <c r="B32" s="103">
        <v>1</v>
      </c>
      <c r="C32" s="479" t="s">
        <v>55</v>
      </c>
      <c r="D32" s="480"/>
      <c r="E32" s="480"/>
      <c r="F32" s="480"/>
      <c r="G32" s="480"/>
      <c r="H32" s="481"/>
      <c r="I32" s="99"/>
      <c r="J32" s="99"/>
      <c r="K32" s="99"/>
      <c r="L32" s="104"/>
      <c r="M32" s="104"/>
      <c r="N32" s="105"/>
    </row>
    <row r="33" spans="1:14" s="8" customFormat="1" ht="17.25" customHeight="1" x14ac:dyDescent="0.3">
      <c r="A33" s="96"/>
      <c r="B33" s="106"/>
      <c r="C33" s="107"/>
      <c r="D33" s="107"/>
      <c r="E33" s="107"/>
      <c r="F33" s="107"/>
      <c r="G33" s="107"/>
      <c r="H33" s="107"/>
      <c r="I33" s="99"/>
      <c r="J33" s="99"/>
      <c r="K33" s="99"/>
      <c r="L33" s="104"/>
      <c r="M33" s="104"/>
      <c r="N33" s="105"/>
    </row>
    <row r="34" spans="1:14" s="8" customFormat="1" ht="18.75" x14ac:dyDescent="0.3">
      <c r="A34" s="96" t="s">
        <v>56</v>
      </c>
      <c r="B34" s="108">
        <f>B31/B32</f>
        <v>1</v>
      </c>
      <c r="C34" s="86" t="s">
        <v>57</v>
      </c>
      <c r="D34" s="86"/>
      <c r="E34" s="86"/>
      <c r="F34" s="86"/>
      <c r="G34" s="86"/>
      <c r="I34" s="99"/>
      <c r="J34" s="99"/>
      <c r="K34" s="99"/>
      <c r="L34" s="104"/>
      <c r="M34" s="104"/>
      <c r="N34" s="105"/>
    </row>
    <row r="35" spans="1:14" s="8" customFormat="1" ht="19.5" customHeight="1" x14ac:dyDescent="0.3">
      <c r="A35" s="96"/>
      <c r="B35" s="100"/>
      <c r="G35" s="86"/>
      <c r="I35" s="99"/>
      <c r="J35" s="99"/>
      <c r="K35" s="99"/>
      <c r="L35" s="104"/>
      <c r="M35" s="104"/>
      <c r="N35" s="105"/>
    </row>
    <row r="36" spans="1:14" s="8" customFormat="1" ht="27" customHeight="1" x14ac:dyDescent="0.4">
      <c r="A36" s="109" t="s">
        <v>58</v>
      </c>
      <c r="B36" s="110">
        <v>20</v>
      </c>
      <c r="C36" s="86"/>
      <c r="D36" s="482" t="s">
        <v>59</v>
      </c>
      <c r="E36" s="500"/>
      <c r="F36" s="482" t="s">
        <v>60</v>
      </c>
      <c r="G36" s="483"/>
      <c r="J36" s="99"/>
      <c r="K36" s="99"/>
      <c r="L36" s="104"/>
      <c r="M36" s="104"/>
      <c r="N36" s="105"/>
    </row>
    <row r="37" spans="1:14" s="8" customFormat="1" ht="27" customHeight="1" x14ac:dyDescent="0.4">
      <c r="A37" s="111" t="s">
        <v>61</v>
      </c>
      <c r="B37" s="112">
        <v>1</v>
      </c>
      <c r="C37" s="113" t="s">
        <v>62</v>
      </c>
      <c r="D37" s="114" t="s">
        <v>63</v>
      </c>
      <c r="E37" s="115" t="s">
        <v>64</v>
      </c>
      <c r="F37" s="114" t="s">
        <v>63</v>
      </c>
      <c r="G37" s="116" t="s">
        <v>64</v>
      </c>
      <c r="I37" s="117" t="s">
        <v>65</v>
      </c>
      <c r="J37" s="99"/>
      <c r="K37" s="99"/>
      <c r="L37" s="104"/>
      <c r="M37" s="104"/>
      <c r="N37" s="105"/>
    </row>
    <row r="38" spans="1:14" s="8" customFormat="1" ht="26.25" customHeight="1" x14ac:dyDescent="0.4">
      <c r="A38" s="111" t="s">
        <v>66</v>
      </c>
      <c r="B38" s="112">
        <v>1</v>
      </c>
      <c r="C38" s="118">
        <v>1</v>
      </c>
      <c r="D38" s="119">
        <v>12236419</v>
      </c>
      <c r="E38" s="120">
        <f>IF(ISBLANK(D38),"-",$D$48/$D$45*D38)</f>
        <v>15458338.70238285</v>
      </c>
      <c r="F38" s="119">
        <v>12098199</v>
      </c>
      <c r="G38" s="121">
        <f>IF(ISBLANK(F38),"-",$D$48/$F$45*F38)</f>
        <v>14957348.520392928</v>
      </c>
      <c r="I38" s="122"/>
      <c r="J38" s="99"/>
      <c r="K38" s="99"/>
      <c r="L38" s="104"/>
      <c r="M38" s="104"/>
      <c r="N38" s="105"/>
    </row>
    <row r="39" spans="1:14" s="8" customFormat="1" ht="26.25" customHeight="1" x14ac:dyDescent="0.4">
      <c r="A39" s="111" t="s">
        <v>67</v>
      </c>
      <c r="B39" s="112">
        <v>1</v>
      </c>
      <c r="C39" s="123">
        <v>2</v>
      </c>
      <c r="D39" s="124">
        <v>12307193</v>
      </c>
      <c r="E39" s="125">
        <f>IF(ISBLANK(D39),"-",$D$48/$D$45*D39)</f>
        <v>15547747.904807385</v>
      </c>
      <c r="F39" s="124">
        <v>12227228</v>
      </c>
      <c r="G39" s="126">
        <f>IF(ISBLANK(F39),"-",$D$48/$F$45*F39)</f>
        <v>15116870.75359787</v>
      </c>
      <c r="I39" s="484">
        <f>ABS((F43/D43*D42)-F42)/D42</f>
        <v>2.4235105925782065E-2</v>
      </c>
      <c r="J39" s="99"/>
      <c r="K39" s="99"/>
      <c r="L39" s="104"/>
      <c r="M39" s="104"/>
      <c r="N39" s="105"/>
    </row>
    <row r="40" spans="1:14" ht="26.25" customHeight="1" x14ac:dyDescent="0.4">
      <c r="A40" s="111" t="s">
        <v>68</v>
      </c>
      <c r="B40" s="112">
        <v>1</v>
      </c>
      <c r="C40" s="123">
        <v>3</v>
      </c>
      <c r="D40" s="124">
        <v>12346927</v>
      </c>
      <c r="E40" s="125">
        <f>IF(ISBLANK(D40),"-",$D$48/$D$45*D40)</f>
        <v>15597944.096193155</v>
      </c>
      <c r="F40" s="124">
        <v>12476034</v>
      </c>
      <c r="G40" s="126">
        <f>IF(ISBLANK(F40),"-",$D$48/$F$45*F40)</f>
        <v>15424476.708497841</v>
      </c>
      <c r="I40" s="484"/>
      <c r="L40" s="104"/>
      <c r="M40" s="104"/>
      <c r="N40" s="127"/>
    </row>
    <row r="41" spans="1:14" ht="27" customHeight="1" x14ac:dyDescent="0.4">
      <c r="A41" s="111" t="s">
        <v>69</v>
      </c>
      <c r="B41" s="112">
        <v>1</v>
      </c>
      <c r="C41" s="128">
        <v>4</v>
      </c>
      <c r="D41" s="129"/>
      <c r="E41" s="130" t="str">
        <f>IF(ISBLANK(D41),"-",$D$48/$D$45*D41)</f>
        <v>-</v>
      </c>
      <c r="F41" s="129"/>
      <c r="G41" s="131" t="str">
        <f>IF(ISBLANK(F41),"-",$D$48/$F$45*F41)</f>
        <v>-</v>
      </c>
      <c r="I41" s="132"/>
      <c r="L41" s="104"/>
      <c r="M41" s="104"/>
      <c r="N41" s="127"/>
    </row>
    <row r="42" spans="1:14" ht="27" customHeight="1" x14ac:dyDescent="0.4">
      <c r="A42" s="111" t="s">
        <v>70</v>
      </c>
      <c r="B42" s="112">
        <v>1</v>
      </c>
      <c r="C42" s="133" t="s">
        <v>71</v>
      </c>
      <c r="D42" s="134">
        <f>AVERAGE(D38:D41)</f>
        <v>12296846.333333334</v>
      </c>
      <c r="E42" s="135">
        <f>AVERAGE(E38:E41)</f>
        <v>15534676.901127798</v>
      </c>
      <c r="F42" s="134">
        <f>AVERAGE(F38:F41)</f>
        <v>12267153.666666666</v>
      </c>
      <c r="G42" s="136">
        <f>AVERAGE(G38:G41)</f>
        <v>15166231.99416288</v>
      </c>
      <c r="H42" s="137"/>
    </row>
    <row r="43" spans="1:14" ht="26.25" customHeight="1" x14ac:dyDescent="0.4">
      <c r="A43" s="111" t="s">
        <v>72</v>
      </c>
      <c r="B43" s="112">
        <v>1</v>
      </c>
      <c r="C43" s="138" t="s">
        <v>73</v>
      </c>
      <c r="D43" s="139">
        <v>16.04</v>
      </c>
      <c r="E43" s="127"/>
      <c r="F43" s="139">
        <v>16.39</v>
      </c>
      <c r="H43" s="137"/>
    </row>
    <row r="44" spans="1:14" ht="26.25" customHeight="1" x14ac:dyDescent="0.4">
      <c r="A44" s="111" t="s">
        <v>74</v>
      </c>
      <c r="B44" s="112">
        <v>1</v>
      </c>
      <c r="C44" s="140" t="s">
        <v>75</v>
      </c>
      <c r="D44" s="141">
        <f>D43*$B$34</f>
        <v>16.04</v>
      </c>
      <c r="E44" s="142"/>
      <c r="F44" s="141">
        <f>F43*$B$34</f>
        <v>16.39</v>
      </c>
      <c r="H44" s="137"/>
    </row>
    <row r="45" spans="1:14" ht="19.5" customHeight="1" x14ac:dyDescent="0.3">
      <c r="A45" s="111" t="s">
        <v>76</v>
      </c>
      <c r="B45" s="143">
        <f>(B44/B43)*(B42/B41)*(B40/B39)*(B38/B37)*B36</f>
        <v>20</v>
      </c>
      <c r="C45" s="140" t="s">
        <v>77</v>
      </c>
      <c r="D45" s="144">
        <f>D44*$B$30/100</f>
        <v>15.831479999999999</v>
      </c>
      <c r="E45" s="145"/>
      <c r="F45" s="144">
        <f>F44*$B$30/100</f>
        <v>16.176930000000002</v>
      </c>
      <c r="H45" s="137"/>
    </row>
    <row r="46" spans="1:14" ht="19.5" customHeight="1" x14ac:dyDescent="0.3">
      <c r="A46" s="470" t="s">
        <v>78</v>
      </c>
      <c r="B46" s="471"/>
      <c r="C46" s="140" t="s">
        <v>79</v>
      </c>
      <c r="D46" s="146">
        <f>D45/$B$45</f>
        <v>0.791574</v>
      </c>
      <c r="E46" s="147"/>
      <c r="F46" s="148">
        <f>F45/$B$45</f>
        <v>0.80884650000000013</v>
      </c>
      <c r="H46" s="137"/>
    </row>
    <row r="47" spans="1:14" ht="27" customHeight="1" x14ac:dyDescent="0.4">
      <c r="A47" s="472"/>
      <c r="B47" s="473"/>
      <c r="C47" s="149" t="s">
        <v>80</v>
      </c>
      <c r="D47" s="150">
        <v>1</v>
      </c>
      <c r="E47" s="151"/>
      <c r="F47" s="147"/>
      <c r="H47" s="137"/>
    </row>
    <row r="48" spans="1:14" ht="18.75" x14ac:dyDescent="0.3">
      <c r="C48" s="152" t="s">
        <v>81</v>
      </c>
      <c r="D48" s="144">
        <f>D47*$B$45</f>
        <v>20</v>
      </c>
      <c r="F48" s="153"/>
      <c r="H48" s="137"/>
    </row>
    <row r="49" spans="1:12" ht="19.5" customHeight="1" x14ac:dyDescent="0.3">
      <c r="C49" s="154" t="s">
        <v>82</v>
      </c>
      <c r="D49" s="155">
        <f>D48/B34</f>
        <v>20</v>
      </c>
      <c r="F49" s="153"/>
      <c r="H49" s="137"/>
    </row>
    <row r="50" spans="1:12" ht="18.75" x14ac:dyDescent="0.3">
      <c r="C50" s="109" t="s">
        <v>83</v>
      </c>
      <c r="D50" s="156">
        <f>AVERAGE(E38:E41,G38:G41)</f>
        <v>15350454.447645338</v>
      </c>
      <c r="F50" s="157"/>
      <c r="H50" s="137"/>
    </row>
    <row r="51" spans="1:12" ht="18.75" x14ac:dyDescent="0.3">
      <c r="C51" s="111" t="s">
        <v>84</v>
      </c>
      <c r="D51" s="158">
        <f>STDEV(E38:E41,G38:G41)/D50</f>
        <v>1.6644114260622827E-2</v>
      </c>
      <c r="F51" s="157"/>
      <c r="H51" s="137"/>
    </row>
    <row r="52" spans="1:12" ht="19.5" customHeight="1" x14ac:dyDescent="0.3">
      <c r="C52" s="159" t="s">
        <v>20</v>
      </c>
      <c r="D52" s="160">
        <f>COUNT(E38:E41,G38:G41)</f>
        <v>6</v>
      </c>
      <c r="F52" s="157"/>
    </row>
    <row r="54" spans="1:12" ht="18.75" x14ac:dyDescent="0.3">
      <c r="A54" s="161" t="s">
        <v>1</v>
      </c>
      <c r="B54" s="162" t="s">
        <v>85</v>
      </c>
    </row>
    <row r="55" spans="1:12" ht="18.75" x14ac:dyDescent="0.3">
      <c r="A55" s="86" t="s">
        <v>86</v>
      </c>
      <c r="B55" s="163" t="str">
        <f>B21</f>
        <v>each tablets contains dihydroartemesinin 20mg,piperaquine phosphate 160mg.</v>
      </c>
    </row>
    <row r="56" spans="1:12" ht="26.25" customHeight="1" x14ac:dyDescent="0.4">
      <c r="A56" s="164" t="s">
        <v>87</v>
      </c>
      <c r="B56" s="165">
        <v>20</v>
      </c>
      <c r="C56" s="86" t="str">
        <f>B26</f>
        <v>Dihydroartemisinin</v>
      </c>
      <c r="H56" s="166"/>
    </row>
    <row r="57" spans="1:12" ht="18.75" x14ac:dyDescent="0.3">
      <c r="A57" s="163" t="s">
        <v>88</v>
      </c>
      <c r="B57" s="251">
        <f>Uniformity!C46</f>
        <v>300.06549999999999</v>
      </c>
      <c r="H57" s="166"/>
    </row>
    <row r="58" spans="1:12" ht="19.5" customHeight="1" x14ac:dyDescent="0.3">
      <c r="H58" s="166"/>
    </row>
    <row r="59" spans="1:12" s="8" customFormat="1" ht="27" customHeight="1" thickBot="1" x14ac:dyDescent="0.45">
      <c r="A59" s="109" t="s">
        <v>89</v>
      </c>
      <c r="B59" s="110">
        <v>25</v>
      </c>
      <c r="C59" s="86"/>
      <c r="D59" s="167" t="s">
        <v>90</v>
      </c>
      <c r="E59" s="168" t="s">
        <v>62</v>
      </c>
      <c r="F59" s="168" t="s">
        <v>63</v>
      </c>
      <c r="G59" s="168" t="s">
        <v>91</v>
      </c>
      <c r="H59" s="113" t="s">
        <v>92</v>
      </c>
      <c r="L59" s="99"/>
    </row>
    <row r="60" spans="1:12" s="8" customFormat="1" ht="26.25" customHeight="1" x14ac:dyDescent="0.4">
      <c r="A60" s="111" t="s">
        <v>93</v>
      </c>
      <c r="B60" s="112">
        <v>20</v>
      </c>
      <c r="C60" s="487" t="s">
        <v>94</v>
      </c>
      <c r="D60" s="490">
        <v>295.85000000000002</v>
      </c>
      <c r="E60" s="169">
        <v>1</v>
      </c>
      <c r="F60" s="170">
        <v>5206395</v>
      </c>
      <c r="G60" s="252">
        <f>IF(ISBLANK(F60),"-",(F60/$D$50*$D$47*$B$68)*($B$57/$D$60))</f>
        <v>21.500095353253091</v>
      </c>
      <c r="H60" s="454">
        <f>IF(ISBLANK(F60),"-",G60/$B$56)</f>
        <v>1.0750047676626546</v>
      </c>
      <c r="I60" s="453"/>
      <c r="L60" s="99"/>
    </row>
    <row r="61" spans="1:12" s="8" customFormat="1" ht="26.25" customHeight="1" x14ac:dyDescent="0.4">
      <c r="A61" s="111" t="s">
        <v>95</v>
      </c>
      <c r="B61" s="112">
        <v>50</v>
      </c>
      <c r="C61" s="488"/>
      <c r="D61" s="491"/>
      <c r="E61" s="171">
        <v>2</v>
      </c>
      <c r="F61" s="124">
        <v>5201964</v>
      </c>
      <c r="G61" s="253">
        <f>IF(ISBLANK(F61),"-",(F61/$D$50*$D$47*$B$68)*($B$57/$D$60))</f>
        <v>21.48179729432551</v>
      </c>
      <c r="H61" s="455">
        <f t="shared" ref="H61:H71" si="0">IF(ISBLANK(F61),"-",G61/$B$56)</f>
        <v>1.0740898647162755</v>
      </c>
      <c r="I61" s="453"/>
      <c r="L61" s="99"/>
    </row>
    <row r="62" spans="1:12" s="8" customFormat="1" ht="26.25" customHeight="1" x14ac:dyDescent="0.4">
      <c r="A62" s="111" t="s">
        <v>96</v>
      </c>
      <c r="B62" s="112">
        <v>1</v>
      </c>
      <c r="C62" s="488"/>
      <c r="D62" s="491"/>
      <c r="E62" s="171">
        <v>3</v>
      </c>
      <c r="F62" s="173">
        <v>5241382</v>
      </c>
      <c r="G62" s="253">
        <f>IF(ISBLANK(F62),"-",(F62/$D$50*$D$47*$B$68)*($B$57/$D$60))</f>
        <v>21.644576099743567</v>
      </c>
      <c r="H62" s="455">
        <f t="shared" si="0"/>
        <v>1.0822288049871784</v>
      </c>
      <c r="I62" s="453"/>
      <c r="L62" s="99"/>
    </row>
    <row r="63" spans="1:12" ht="27" customHeight="1" thickBot="1" x14ac:dyDescent="0.45">
      <c r="A63" s="111" t="s">
        <v>97</v>
      </c>
      <c r="B63" s="112">
        <v>1</v>
      </c>
      <c r="C63" s="498"/>
      <c r="D63" s="492"/>
      <c r="E63" s="174">
        <v>4</v>
      </c>
      <c r="F63" s="175"/>
      <c r="G63" s="253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111" t="s">
        <v>98</v>
      </c>
      <c r="B64" s="112">
        <v>1</v>
      </c>
      <c r="C64" s="487" t="s">
        <v>99</v>
      </c>
      <c r="D64" s="490">
        <v>300.54000000000002</v>
      </c>
      <c r="E64" s="169">
        <v>1</v>
      </c>
      <c r="F64" s="170">
        <v>5135910</v>
      </c>
      <c r="G64" s="432">
        <f>IF(ISBLANK(F64),"-",(F64/$D$50*$D$47*$B$68)*($B$57/$D$64))</f>
        <v>20.878051670646741</v>
      </c>
      <c r="H64" s="454">
        <f>IF(ISBLANK(F64),"-",G64/$B$56)</f>
        <v>1.043902583532337</v>
      </c>
    </row>
    <row r="65" spans="1:8" ht="26.25" customHeight="1" x14ac:dyDescent="0.4">
      <c r="A65" s="111" t="s">
        <v>100</v>
      </c>
      <c r="B65" s="112">
        <v>1</v>
      </c>
      <c r="C65" s="488"/>
      <c r="D65" s="491"/>
      <c r="E65" s="171">
        <v>2</v>
      </c>
      <c r="F65" s="124">
        <v>5284972</v>
      </c>
      <c r="G65" s="433">
        <f>IF(ISBLANK(F65),"-",(F65/$D$50*$D$47*$B$68)*($B$57/$D$64))</f>
        <v>21.484005462307803</v>
      </c>
      <c r="H65" s="455">
        <f t="shared" si="0"/>
        <v>1.0742002731153901</v>
      </c>
    </row>
    <row r="66" spans="1:8" ht="26.25" customHeight="1" x14ac:dyDescent="0.4">
      <c r="A66" s="111" t="s">
        <v>101</v>
      </c>
      <c r="B66" s="112">
        <v>1</v>
      </c>
      <c r="C66" s="488"/>
      <c r="D66" s="491"/>
      <c r="E66" s="171">
        <v>3</v>
      </c>
      <c r="F66" s="124">
        <v>5289623</v>
      </c>
      <c r="G66" s="433">
        <f>IF(ISBLANK(F66),"-",(F66/$D$50*$D$47*$B$68)*($B$57/$D$64))</f>
        <v>21.502912300301489</v>
      </c>
      <c r="H66" s="455">
        <f t="shared" si="0"/>
        <v>1.0751456150150744</v>
      </c>
    </row>
    <row r="67" spans="1:8" ht="27" customHeight="1" thickBot="1" x14ac:dyDescent="0.45">
      <c r="A67" s="111" t="s">
        <v>102</v>
      </c>
      <c r="B67" s="112">
        <v>1</v>
      </c>
      <c r="C67" s="498"/>
      <c r="D67" s="492"/>
      <c r="E67" s="174">
        <v>4</v>
      </c>
      <c r="F67" s="175"/>
      <c r="G67" s="457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111" t="s">
        <v>103</v>
      </c>
      <c r="B68" s="176">
        <f>(B67/B66)*(B65/B64)*(B63/B62)*(B61/B60)*B59</f>
        <v>62.5</v>
      </c>
      <c r="C68" s="487" t="s">
        <v>104</v>
      </c>
      <c r="D68" s="490">
        <v>301.98</v>
      </c>
      <c r="E68" s="169">
        <v>1</v>
      </c>
      <c r="F68" s="170"/>
      <c r="G68" s="254" t="str">
        <f>IF(ISBLANK(F68),"-",(F68/$D$50*$D$47*$B$68)*($B$57/$D$68))</f>
        <v>-</v>
      </c>
      <c r="H68" s="172" t="str">
        <f>IF(ISBLANK(F68),"-",G68/$B$56)</f>
        <v>-</v>
      </c>
    </row>
    <row r="69" spans="1:8" ht="27" customHeight="1" x14ac:dyDescent="0.4">
      <c r="A69" s="159" t="s">
        <v>105</v>
      </c>
      <c r="B69" s="177">
        <f>(D47*B68)/B56*B57</f>
        <v>937.70468749999998</v>
      </c>
      <c r="C69" s="488"/>
      <c r="D69" s="491"/>
      <c r="E69" s="171">
        <v>2</v>
      </c>
      <c r="F69" s="124">
        <v>5163605</v>
      </c>
      <c r="G69" s="255">
        <f>IF(ISBLANK(F69),"-",(F69/$D$50*$D$47*$B$68)*($B$57/$D$68))</f>
        <v>20.890540535277406</v>
      </c>
      <c r="H69" s="172">
        <f t="shared" si="0"/>
        <v>1.0445270267638702</v>
      </c>
    </row>
    <row r="70" spans="1:8" ht="26.25" customHeight="1" x14ac:dyDescent="0.4">
      <c r="A70" s="493" t="s">
        <v>78</v>
      </c>
      <c r="B70" s="494"/>
      <c r="C70" s="488"/>
      <c r="D70" s="491"/>
      <c r="E70" s="171">
        <v>3</v>
      </c>
      <c r="F70" s="124">
        <v>5076657</v>
      </c>
      <c r="G70" s="255">
        <f>IF(ISBLANK(F70),"-",(F70/$D$50*$D$47*$B$68)*($B$57/$D$68))</f>
        <v>20.538772590506014</v>
      </c>
      <c r="H70" s="172">
        <f t="shared" si="0"/>
        <v>1.0269386295253007</v>
      </c>
    </row>
    <row r="71" spans="1:8" ht="27" customHeight="1" x14ac:dyDescent="0.4">
      <c r="A71" s="495"/>
      <c r="B71" s="496"/>
      <c r="C71" s="489"/>
      <c r="D71" s="492"/>
      <c r="E71" s="174">
        <v>4</v>
      </c>
      <c r="F71" s="175"/>
      <c r="G71" s="256" t="str">
        <f>IF(ISBLANK(F71),"-",(F71/$D$50*$D$47*$B$68)*($B$57/$D$68))</f>
        <v>-</v>
      </c>
      <c r="H71" s="178" t="str">
        <f t="shared" si="0"/>
        <v>-</v>
      </c>
    </row>
    <row r="72" spans="1:8" ht="26.25" customHeight="1" x14ac:dyDescent="0.4">
      <c r="A72" s="179"/>
      <c r="B72" s="179"/>
      <c r="C72" s="179"/>
      <c r="D72" s="179"/>
      <c r="E72" s="179"/>
      <c r="F72" s="181" t="s">
        <v>71</v>
      </c>
      <c r="G72" s="261">
        <f>AVERAGE(G60:G71)</f>
        <v>21.240093913295205</v>
      </c>
      <c r="H72" s="182">
        <f>AVERAGE(H60:H71)</f>
        <v>1.0620046956647602</v>
      </c>
    </row>
    <row r="73" spans="1:8" ht="26.25" customHeight="1" x14ac:dyDescent="0.4">
      <c r="C73" s="179"/>
      <c r="D73" s="179"/>
      <c r="E73" s="179"/>
      <c r="F73" s="183" t="s">
        <v>84</v>
      </c>
      <c r="G73" s="257">
        <f>STDEV(G60:G71)/G72</f>
        <v>1.919295110239919E-2</v>
      </c>
      <c r="H73" s="257">
        <f>STDEV(H60:H71)/H72</f>
        <v>1.9192951102399228E-2</v>
      </c>
    </row>
    <row r="74" spans="1:8" ht="27" customHeight="1" x14ac:dyDescent="0.4">
      <c r="A74" s="179"/>
      <c r="B74" s="179"/>
      <c r="C74" s="180"/>
      <c r="D74" s="180"/>
      <c r="E74" s="184"/>
      <c r="F74" s="185" t="s">
        <v>20</v>
      </c>
      <c r="G74" s="186">
        <f>COUNT(G60:G71)</f>
        <v>8</v>
      </c>
      <c r="H74" s="186">
        <f>COUNT(H60:H71)</f>
        <v>8</v>
      </c>
    </row>
    <row r="76" spans="1:8" ht="26.25" customHeight="1" x14ac:dyDescent="0.4">
      <c r="A76" s="95" t="s">
        <v>106</v>
      </c>
      <c r="B76" s="187" t="s">
        <v>107</v>
      </c>
      <c r="C76" s="474" t="str">
        <f>C56</f>
        <v>Dihydroartemisinin</v>
      </c>
      <c r="D76" s="474"/>
      <c r="E76" s="188" t="s">
        <v>108</v>
      </c>
      <c r="F76" s="188"/>
      <c r="G76" s="189">
        <f>H72</f>
        <v>1.0620046956647602</v>
      </c>
      <c r="H76" s="190"/>
    </row>
    <row r="77" spans="1:8" ht="18.75" x14ac:dyDescent="0.3">
      <c r="A77" s="94" t="s">
        <v>109</v>
      </c>
      <c r="B77" s="94" t="s">
        <v>110</v>
      </c>
    </row>
    <row r="78" spans="1:8" ht="18.75" x14ac:dyDescent="0.3">
      <c r="A78" s="94"/>
      <c r="B78" s="94"/>
    </row>
    <row r="79" spans="1:8" ht="26.25" customHeight="1" x14ac:dyDescent="0.4">
      <c r="A79" s="95" t="s">
        <v>4</v>
      </c>
      <c r="B79" s="497" t="str">
        <f>B26</f>
        <v>Dihydroartemisinin</v>
      </c>
      <c r="C79" s="497"/>
    </row>
    <row r="80" spans="1:8" ht="26.25" customHeight="1" x14ac:dyDescent="0.4">
      <c r="A80" s="96" t="s">
        <v>48</v>
      </c>
      <c r="B80" s="497" t="str">
        <f>B27</f>
        <v>D5-3</v>
      </c>
      <c r="C80" s="497"/>
    </row>
    <row r="81" spans="1:12" ht="27" customHeight="1" x14ac:dyDescent="0.4">
      <c r="A81" s="96" t="s">
        <v>6</v>
      </c>
      <c r="B81" s="191">
        <f>B28</f>
        <v>98.7</v>
      </c>
    </row>
    <row r="82" spans="1:12" s="8" customFormat="1" ht="27" customHeight="1" x14ac:dyDescent="0.4">
      <c r="A82" s="96" t="s">
        <v>49</v>
      </c>
      <c r="B82" s="98">
        <v>0</v>
      </c>
      <c r="C82" s="476" t="s">
        <v>50</v>
      </c>
      <c r="D82" s="477"/>
      <c r="E82" s="477"/>
      <c r="F82" s="477"/>
      <c r="G82" s="478"/>
      <c r="I82" s="99"/>
      <c r="J82" s="99"/>
      <c r="K82" s="99"/>
      <c r="L82" s="99"/>
    </row>
    <row r="83" spans="1:12" s="8" customFormat="1" ht="19.5" customHeight="1" x14ac:dyDescent="0.3">
      <c r="A83" s="96" t="s">
        <v>51</v>
      </c>
      <c r="B83" s="100">
        <f>B81-B82</f>
        <v>98.7</v>
      </c>
      <c r="C83" s="101"/>
      <c r="D83" s="101"/>
      <c r="E83" s="101"/>
      <c r="F83" s="101"/>
      <c r="G83" s="102"/>
      <c r="I83" s="99"/>
      <c r="J83" s="99"/>
      <c r="K83" s="99"/>
      <c r="L83" s="99"/>
    </row>
    <row r="84" spans="1:12" s="8" customFormat="1" ht="27" customHeight="1" x14ac:dyDescent="0.4">
      <c r="A84" s="96" t="s">
        <v>52</v>
      </c>
      <c r="B84" s="103">
        <v>1</v>
      </c>
      <c r="C84" s="479" t="s">
        <v>111</v>
      </c>
      <c r="D84" s="480"/>
      <c r="E84" s="480"/>
      <c r="F84" s="480"/>
      <c r="G84" s="480"/>
      <c r="H84" s="481"/>
      <c r="I84" s="99"/>
      <c r="J84" s="99"/>
      <c r="K84" s="99"/>
      <c r="L84" s="99"/>
    </row>
    <row r="85" spans="1:12" s="8" customFormat="1" ht="27" customHeight="1" x14ac:dyDescent="0.4">
      <c r="A85" s="96" t="s">
        <v>54</v>
      </c>
      <c r="B85" s="103">
        <v>1</v>
      </c>
      <c r="C85" s="479" t="s">
        <v>112</v>
      </c>
      <c r="D85" s="480"/>
      <c r="E85" s="480"/>
      <c r="F85" s="480"/>
      <c r="G85" s="480"/>
      <c r="H85" s="481"/>
      <c r="I85" s="99"/>
      <c r="J85" s="99"/>
      <c r="K85" s="99"/>
      <c r="L85" s="99"/>
    </row>
    <row r="86" spans="1:12" s="8" customFormat="1" ht="18.75" x14ac:dyDescent="0.3">
      <c r="A86" s="96"/>
      <c r="B86" s="106"/>
      <c r="C86" s="107"/>
      <c r="D86" s="107"/>
      <c r="E86" s="107"/>
      <c r="F86" s="107"/>
      <c r="G86" s="107"/>
      <c r="H86" s="107"/>
      <c r="I86" s="99"/>
      <c r="J86" s="99"/>
      <c r="K86" s="99"/>
      <c r="L86" s="99"/>
    </row>
    <row r="87" spans="1:12" s="8" customFormat="1" ht="18.75" x14ac:dyDescent="0.3">
      <c r="A87" s="96" t="s">
        <v>56</v>
      </c>
      <c r="B87" s="108">
        <f>B84/B85</f>
        <v>1</v>
      </c>
      <c r="C87" s="86" t="s">
        <v>57</v>
      </c>
      <c r="D87" s="86"/>
      <c r="E87" s="86"/>
      <c r="F87" s="86"/>
      <c r="G87" s="86"/>
      <c r="I87" s="99"/>
      <c r="J87" s="99"/>
      <c r="K87" s="99"/>
      <c r="L87" s="99"/>
    </row>
    <row r="88" spans="1:12" ht="19.5" customHeight="1" x14ac:dyDescent="0.3">
      <c r="A88" s="94"/>
      <c r="B88" s="94"/>
    </row>
    <row r="89" spans="1:12" ht="27" customHeight="1" x14ac:dyDescent="0.4">
      <c r="A89" s="109" t="s">
        <v>58</v>
      </c>
      <c r="B89" s="110">
        <v>20</v>
      </c>
      <c r="D89" s="192" t="s">
        <v>59</v>
      </c>
      <c r="E89" s="193"/>
      <c r="F89" s="482" t="s">
        <v>60</v>
      </c>
      <c r="G89" s="483"/>
    </row>
    <row r="90" spans="1:12" ht="27" customHeight="1" x14ac:dyDescent="0.4">
      <c r="A90" s="111" t="s">
        <v>61</v>
      </c>
      <c r="B90" s="112">
        <v>2</v>
      </c>
      <c r="C90" s="194" t="s">
        <v>62</v>
      </c>
      <c r="D90" s="114" t="s">
        <v>63</v>
      </c>
      <c r="E90" s="115" t="s">
        <v>64</v>
      </c>
      <c r="F90" s="114" t="s">
        <v>63</v>
      </c>
      <c r="G90" s="195" t="s">
        <v>64</v>
      </c>
      <c r="I90" s="117" t="s">
        <v>65</v>
      </c>
    </row>
    <row r="91" spans="1:12" ht="26.25" customHeight="1" x14ac:dyDescent="0.4">
      <c r="A91" s="111" t="s">
        <v>66</v>
      </c>
      <c r="B91" s="112">
        <v>50</v>
      </c>
      <c r="C91" s="196">
        <v>1</v>
      </c>
      <c r="D91" s="119">
        <v>3603473</v>
      </c>
      <c r="E91" s="120">
        <f>IF(ISBLANK(D91),"-",$D$101/$D$98*D91)</f>
        <v>2529049.0142986565</v>
      </c>
      <c r="F91" s="298">
        <v>3644377</v>
      </c>
      <c r="G91" s="121">
        <f>IF(ISBLANK(F91),"-",$D$101/$F$98*F91)</f>
        <v>2503137.3553435523</v>
      </c>
      <c r="I91" s="122"/>
    </row>
    <row r="92" spans="1:12" ht="26.25" customHeight="1" x14ac:dyDescent="0.4">
      <c r="A92" s="111" t="s">
        <v>67</v>
      </c>
      <c r="B92" s="112">
        <v>1</v>
      </c>
      <c r="C92" s="180">
        <v>2</v>
      </c>
      <c r="D92" s="124">
        <v>3622097</v>
      </c>
      <c r="E92" s="125">
        <f>IF(ISBLANK(D92),"-",$D$101/$D$98*D92)</f>
        <v>2542120.0179782449</v>
      </c>
      <c r="F92" s="303">
        <v>3627878</v>
      </c>
      <c r="G92" s="126">
        <f>IF(ISBLANK(F92),"-",$D$101/$F$98*F92)</f>
        <v>2491805.0307169249</v>
      </c>
      <c r="I92" s="484">
        <f>ABS((F96/D96*D95)-F95)/D95</f>
        <v>1.6388076965237672E-2</v>
      </c>
    </row>
    <row r="93" spans="1:12" ht="26.25" customHeight="1" x14ac:dyDescent="0.4">
      <c r="A93" s="111" t="s">
        <v>68</v>
      </c>
      <c r="B93" s="112">
        <v>1</v>
      </c>
      <c r="C93" s="180">
        <v>3</v>
      </c>
      <c r="D93" s="124">
        <v>3618312</v>
      </c>
      <c r="E93" s="125">
        <f>IF(ISBLANK(D93),"-",$D$101/$D$98*D93)</f>
        <v>2539463.5666827527</v>
      </c>
      <c r="F93" s="303">
        <v>3630535</v>
      </c>
      <c r="G93" s="126">
        <f>IF(ISBLANK(F93),"-",$D$101/$F$98*F93)</f>
        <v>2493629.9889891203</v>
      </c>
      <c r="I93" s="484"/>
    </row>
    <row r="94" spans="1:12" ht="27" customHeight="1" x14ac:dyDescent="0.4">
      <c r="A94" s="111" t="s">
        <v>69</v>
      </c>
      <c r="B94" s="112">
        <v>1</v>
      </c>
      <c r="C94" s="197">
        <v>4</v>
      </c>
      <c r="D94" s="129"/>
      <c r="E94" s="130" t="str">
        <f>IF(ISBLANK(D94),"-",$D$101/$D$98*D94)</f>
        <v>-</v>
      </c>
      <c r="F94" s="198"/>
      <c r="G94" s="131" t="str">
        <f>IF(ISBLANK(F94),"-",$D$101/$F$98*F94)</f>
        <v>-</v>
      </c>
      <c r="I94" s="132"/>
    </row>
    <row r="95" spans="1:12" ht="27" customHeight="1" x14ac:dyDescent="0.4">
      <c r="A95" s="111" t="s">
        <v>70</v>
      </c>
      <c r="B95" s="112">
        <v>1</v>
      </c>
      <c r="C95" s="199" t="s">
        <v>71</v>
      </c>
      <c r="D95" s="200">
        <f>AVERAGE(D91:D94)</f>
        <v>3614627.3333333335</v>
      </c>
      <c r="E95" s="135">
        <f>AVERAGE(E91:E94)</f>
        <v>2536877.5329865515</v>
      </c>
      <c r="F95" s="201">
        <f>AVERAGE(F91:F94)</f>
        <v>3634263.3333333335</v>
      </c>
      <c r="G95" s="202">
        <f>AVERAGE(G91:G94)</f>
        <v>2496190.7916831993</v>
      </c>
    </row>
    <row r="96" spans="1:12" ht="26.25" customHeight="1" x14ac:dyDescent="0.4">
      <c r="A96" s="111" t="s">
        <v>72</v>
      </c>
      <c r="B96" s="97">
        <v>1</v>
      </c>
      <c r="C96" s="203" t="s">
        <v>113</v>
      </c>
      <c r="D96" s="204">
        <v>16.04</v>
      </c>
      <c r="E96" s="127"/>
      <c r="F96" s="139">
        <v>16.39</v>
      </c>
    </row>
    <row r="97" spans="1:10" ht="26.25" customHeight="1" x14ac:dyDescent="0.4">
      <c r="A97" s="111" t="s">
        <v>74</v>
      </c>
      <c r="B97" s="97">
        <v>1</v>
      </c>
      <c r="C97" s="205" t="s">
        <v>114</v>
      </c>
      <c r="D97" s="206">
        <f>D96*$B$87</f>
        <v>16.04</v>
      </c>
      <c r="E97" s="142"/>
      <c r="F97" s="141">
        <f>F96*$B$87</f>
        <v>16.39</v>
      </c>
    </row>
    <row r="98" spans="1:10" ht="19.5" customHeight="1" x14ac:dyDescent="0.3">
      <c r="A98" s="111" t="s">
        <v>76</v>
      </c>
      <c r="B98" s="207">
        <f>(B97/B96)*(B95/B94)*(B93/B92)*(B91/B90)*B89</f>
        <v>500</v>
      </c>
      <c r="C98" s="205" t="s">
        <v>115</v>
      </c>
      <c r="D98" s="208">
        <f>D97*$B$83/100</f>
        <v>15.831479999999999</v>
      </c>
      <c r="E98" s="145"/>
      <c r="F98" s="144">
        <f>F97*$B$83/100</f>
        <v>16.176930000000002</v>
      </c>
    </row>
    <row r="99" spans="1:10" ht="19.5" customHeight="1" x14ac:dyDescent="0.3">
      <c r="A99" s="470" t="s">
        <v>78</v>
      </c>
      <c r="B99" s="485"/>
      <c r="C99" s="205" t="s">
        <v>116</v>
      </c>
      <c r="D99" s="209">
        <f>D98/$B$98</f>
        <v>3.1662959999999997E-2</v>
      </c>
      <c r="E99" s="145"/>
      <c r="F99" s="148">
        <f>F98/$B$98</f>
        <v>3.2353860000000005E-2</v>
      </c>
      <c r="G99" s="210"/>
      <c r="H99" s="137"/>
    </row>
    <row r="100" spans="1:10" ht="19.5" customHeight="1" x14ac:dyDescent="0.3">
      <c r="A100" s="472"/>
      <c r="B100" s="486"/>
      <c r="C100" s="205" t="s">
        <v>80</v>
      </c>
      <c r="D100" s="211">
        <f>$B$56/$B$116</f>
        <v>2.2222222222222223E-2</v>
      </c>
      <c r="F100" s="153"/>
      <c r="G100" s="212"/>
      <c r="H100" s="137"/>
    </row>
    <row r="101" spans="1:10" ht="18.75" x14ac:dyDescent="0.3">
      <c r="C101" s="205" t="s">
        <v>81</v>
      </c>
      <c r="D101" s="206">
        <f>D100*$B$98</f>
        <v>11.111111111111111</v>
      </c>
      <c r="F101" s="153"/>
      <c r="G101" s="210"/>
      <c r="H101" s="137"/>
    </row>
    <row r="102" spans="1:10" ht="19.5" customHeight="1" x14ac:dyDescent="0.3">
      <c r="C102" s="213" t="s">
        <v>82</v>
      </c>
      <c r="D102" s="214">
        <f>D101/B34</f>
        <v>11.111111111111111</v>
      </c>
      <c r="F102" s="157"/>
      <c r="G102" s="210"/>
      <c r="H102" s="137"/>
      <c r="J102" s="215"/>
    </row>
    <row r="103" spans="1:10" ht="18.75" x14ac:dyDescent="0.3">
      <c r="C103" s="216" t="s">
        <v>117</v>
      </c>
      <c r="D103" s="217">
        <f>AVERAGE(E91:E94,G91:G94)</f>
        <v>2516534.1623348752</v>
      </c>
      <c r="F103" s="157"/>
      <c r="G103" s="218"/>
      <c r="H103" s="137"/>
      <c r="J103" s="219"/>
    </row>
    <row r="104" spans="1:10" ht="18.75" x14ac:dyDescent="0.3">
      <c r="C104" s="183" t="s">
        <v>84</v>
      </c>
      <c r="D104" s="220">
        <f>STDEV(E91:E94,G91:G94)/D103</f>
        <v>9.1527108218014928E-3</v>
      </c>
      <c r="F104" s="157"/>
      <c r="G104" s="210"/>
      <c r="H104" s="137"/>
      <c r="J104" s="219"/>
    </row>
    <row r="105" spans="1:10" ht="19.5" customHeight="1" x14ac:dyDescent="0.3">
      <c r="C105" s="185" t="s">
        <v>20</v>
      </c>
      <c r="D105" s="221">
        <f>COUNT(E91:E94,G91:G94)</f>
        <v>6</v>
      </c>
      <c r="F105" s="157"/>
      <c r="G105" s="210"/>
      <c r="H105" s="137"/>
      <c r="J105" s="219"/>
    </row>
    <row r="106" spans="1:10" ht="19.5" customHeight="1" x14ac:dyDescent="0.3">
      <c r="A106" s="161"/>
      <c r="B106" s="161"/>
      <c r="C106" s="161"/>
      <c r="D106" s="161"/>
      <c r="E106" s="161"/>
    </row>
    <row r="107" spans="1:10" ht="26.25" customHeight="1" x14ac:dyDescent="0.4">
      <c r="A107" s="109" t="s">
        <v>118</v>
      </c>
      <c r="B107" s="110">
        <v>900</v>
      </c>
      <c r="C107" s="222" t="s">
        <v>119</v>
      </c>
      <c r="D107" s="223" t="s">
        <v>63</v>
      </c>
      <c r="E107" s="224" t="s">
        <v>120</v>
      </c>
      <c r="F107" s="225" t="s">
        <v>121</v>
      </c>
    </row>
    <row r="108" spans="1:10" ht="26.25" customHeight="1" x14ac:dyDescent="0.4">
      <c r="A108" s="111" t="s">
        <v>122</v>
      </c>
      <c r="B108" s="112">
        <v>1</v>
      </c>
      <c r="C108" s="226">
        <v>1</v>
      </c>
      <c r="D108" s="227">
        <v>1917880</v>
      </c>
      <c r="E108" s="258">
        <f t="shared" ref="E108:E113" si="1">IF(ISBLANK(D108),"-",D108/$D$103*$D$100*$B$116)</f>
        <v>15.242232978236739</v>
      </c>
      <c r="F108" s="228">
        <f t="shared" ref="F108:F113" si="2">IF(ISBLANK(D108), "-", E108/$B$56)</f>
        <v>0.76211164891183691</v>
      </c>
    </row>
    <row r="109" spans="1:10" ht="26.25" customHeight="1" x14ac:dyDescent="0.4">
      <c r="A109" s="111" t="s">
        <v>95</v>
      </c>
      <c r="B109" s="112">
        <v>1</v>
      </c>
      <c r="C109" s="226">
        <v>2</v>
      </c>
      <c r="D109" s="227">
        <v>1881008</v>
      </c>
      <c r="E109" s="259">
        <f t="shared" si="1"/>
        <v>14.94919503301934</v>
      </c>
      <c r="F109" s="229">
        <f t="shared" si="2"/>
        <v>0.74745975165096701</v>
      </c>
    </row>
    <row r="110" spans="1:10" ht="26.25" customHeight="1" x14ac:dyDescent="0.4">
      <c r="A110" s="111" t="s">
        <v>96</v>
      </c>
      <c r="B110" s="112">
        <v>1</v>
      </c>
      <c r="C110" s="226">
        <v>3</v>
      </c>
      <c r="D110" s="227">
        <v>1788952</v>
      </c>
      <c r="E110" s="259">
        <f t="shared" si="1"/>
        <v>14.217585652325782</v>
      </c>
      <c r="F110" s="229">
        <f t="shared" si="2"/>
        <v>0.71087928261628908</v>
      </c>
    </row>
    <row r="111" spans="1:10" ht="26.25" customHeight="1" x14ac:dyDescent="0.4">
      <c r="A111" s="111" t="s">
        <v>97</v>
      </c>
      <c r="B111" s="112">
        <v>1</v>
      </c>
      <c r="C111" s="226">
        <v>4</v>
      </c>
      <c r="D111" s="227">
        <v>1775402</v>
      </c>
      <c r="E111" s="259">
        <f t="shared" si="1"/>
        <v>14.109897863280008</v>
      </c>
      <c r="F111" s="229">
        <f t="shared" si="2"/>
        <v>0.70549489316400038</v>
      </c>
    </row>
    <row r="112" spans="1:10" ht="26.25" customHeight="1" x14ac:dyDescent="0.4">
      <c r="A112" s="111" t="s">
        <v>98</v>
      </c>
      <c r="B112" s="112">
        <v>1</v>
      </c>
      <c r="C112" s="226">
        <v>5</v>
      </c>
      <c r="D112" s="227">
        <v>1850918</v>
      </c>
      <c r="E112" s="259">
        <f t="shared" si="1"/>
        <v>14.710056614392968</v>
      </c>
      <c r="F112" s="229">
        <f t="shared" si="2"/>
        <v>0.73550283071964839</v>
      </c>
    </row>
    <row r="113" spans="1:10" ht="26.25" customHeight="1" x14ac:dyDescent="0.4">
      <c r="A113" s="111" t="s">
        <v>100</v>
      </c>
      <c r="B113" s="112">
        <v>1</v>
      </c>
      <c r="C113" s="230">
        <v>6</v>
      </c>
      <c r="D113" s="231">
        <v>1842153</v>
      </c>
      <c r="E113" s="260">
        <f t="shared" si="1"/>
        <v>14.64039731764122</v>
      </c>
      <c r="F113" s="232">
        <f t="shared" si="2"/>
        <v>0.73201986588206103</v>
      </c>
    </row>
    <row r="114" spans="1:10" ht="26.25" customHeight="1" x14ac:dyDescent="0.4">
      <c r="A114" s="111" t="s">
        <v>101</v>
      </c>
      <c r="B114" s="112">
        <v>1</v>
      </c>
      <c r="C114" s="226"/>
      <c r="D114" s="180"/>
      <c r="E114" s="85"/>
      <c r="F114" s="233"/>
    </row>
    <row r="115" spans="1:10" ht="26.25" customHeight="1" x14ac:dyDescent="0.4">
      <c r="A115" s="111" t="s">
        <v>102</v>
      </c>
      <c r="B115" s="112">
        <v>1</v>
      </c>
      <c r="C115" s="226"/>
      <c r="D115" s="234" t="s">
        <v>71</v>
      </c>
      <c r="E115" s="262">
        <f>AVERAGE(E108:E113)</f>
        <v>14.644894243149343</v>
      </c>
      <c r="F115" s="235">
        <f>AVERAGE(F108:F113)</f>
        <v>0.73224471215746723</v>
      </c>
    </row>
    <row r="116" spans="1:10" ht="27" customHeight="1" x14ac:dyDescent="0.4">
      <c r="A116" s="111" t="s">
        <v>103</v>
      </c>
      <c r="B116" s="143">
        <f>(B115/B114)*(B113/B112)*(B111/B110)*(B109/B108)*B107</f>
        <v>900</v>
      </c>
      <c r="C116" s="236"/>
      <c r="D116" s="199" t="s">
        <v>84</v>
      </c>
      <c r="E116" s="237">
        <f>STDEV(E108:E113)/E115</f>
        <v>2.9329875224627683E-2</v>
      </c>
      <c r="F116" s="237">
        <f>STDEV(F108:F113)/F115</f>
        <v>2.9329875224627676E-2</v>
      </c>
      <c r="I116" s="85"/>
    </row>
    <row r="117" spans="1:10" ht="27" customHeight="1" x14ac:dyDescent="0.4">
      <c r="A117" s="470" t="s">
        <v>78</v>
      </c>
      <c r="B117" s="471"/>
      <c r="C117" s="238"/>
      <c r="D117" s="239" t="s">
        <v>20</v>
      </c>
      <c r="E117" s="240">
        <f>COUNT(E108:E113)</f>
        <v>6</v>
      </c>
      <c r="F117" s="240">
        <f>COUNT(F108:F113)</f>
        <v>6</v>
      </c>
      <c r="I117" s="85"/>
      <c r="J117" s="219"/>
    </row>
    <row r="118" spans="1:10" ht="19.5" customHeight="1" x14ac:dyDescent="0.3">
      <c r="A118" s="472"/>
      <c r="B118" s="473"/>
      <c r="C118" s="85"/>
      <c r="D118" s="85"/>
      <c r="E118" s="85"/>
      <c r="F118" s="180"/>
      <c r="G118" s="85"/>
      <c r="H118" s="85"/>
      <c r="I118" s="85"/>
    </row>
    <row r="119" spans="1:10" ht="18.75" x14ac:dyDescent="0.3">
      <c r="A119" s="249"/>
      <c r="B119" s="107"/>
      <c r="C119" s="85"/>
      <c r="D119" s="85"/>
      <c r="E119" s="85"/>
      <c r="F119" s="180"/>
      <c r="G119" s="85"/>
      <c r="H119" s="85"/>
      <c r="I119" s="85"/>
    </row>
    <row r="120" spans="1:10" ht="26.25" customHeight="1" x14ac:dyDescent="0.4">
      <c r="A120" s="95" t="s">
        <v>106</v>
      </c>
      <c r="B120" s="187" t="s">
        <v>123</v>
      </c>
      <c r="C120" s="474" t="str">
        <f>C76</f>
        <v>Dihydroartemisinin</v>
      </c>
      <c r="D120" s="474"/>
      <c r="E120" s="188" t="s">
        <v>124</v>
      </c>
      <c r="F120" s="188"/>
      <c r="G120" s="189">
        <f>F115</f>
        <v>0.73224471215746723</v>
      </c>
      <c r="H120" s="85"/>
      <c r="I120" s="85"/>
    </row>
    <row r="121" spans="1:10" ht="19.5" customHeight="1" x14ac:dyDescent="0.3">
      <c r="A121" s="241"/>
      <c r="B121" s="241"/>
      <c r="C121" s="242"/>
      <c r="D121" s="242"/>
      <c r="E121" s="242"/>
      <c r="F121" s="242"/>
      <c r="G121" s="242"/>
      <c r="H121" s="242"/>
    </row>
    <row r="122" spans="1:10" ht="18.75" x14ac:dyDescent="0.3">
      <c r="B122" s="475" t="s">
        <v>26</v>
      </c>
      <c r="C122" s="475"/>
      <c r="E122" s="194" t="s">
        <v>27</v>
      </c>
      <c r="F122" s="243"/>
      <c r="G122" s="475" t="s">
        <v>28</v>
      </c>
      <c r="H122" s="475"/>
    </row>
    <row r="123" spans="1:10" ht="69.95" customHeight="1" x14ac:dyDescent="0.3">
      <c r="A123" s="244" t="s">
        <v>29</v>
      </c>
      <c r="B123" s="245"/>
      <c r="C123" s="245" t="s">
        <v>129</v>
      </c>
      <c r="E123" s="245" t="s">
        <v>130</v>
      </c>
      <c r="F123" s="85"/>
      <c r="G123" s="246"/>
      <c r="H123" s="246"/>
    </row>
    <row r="124" spans="1:10" ht="69.95" customHeight="1" x14ac:dyDescent="0.3">
      <c r="A124" s="244" t="s">
        <v>30</v>
      </c>
      <c r="B124" s="247"/>
      <c r="C124" s="247" t="s">
        <v>131</v>
      </c>
      <c r="E124" s="508">
        <v>42197</v>
      </c>
      <c r="F124" s="85"/>
      <c r="G124" s="248"/>
      <c r="H124" s="248"/>
    </row>
    <row r="125" spans="1:10" ht="18.75" x14ac:dyDescent="0.3">
      <c r="A125" s="179"/>
      <c r="B125" s="179"/>
      <c r="C125" s="180"/>
      <c r="D125" s="180"/>
      <c r="E125" s="180"/>
      <c r="F125" s="184"/>
      <c r="G125" s="180"/>
      <c r="H125" s="180"/>
      <c r="I125" s="85"/>
    </row>
    <row r="126" spans="1:10" ht="18.75" x14ac:dyDescent="0.3">
      <c r="A126" s="179"/>
      <c r="B126" s="179"/>
      <c r="C126" s="180"/>
      <c r="D126" s="180"/>
      <c r="E126" s="180"/>
      <c r="F126" s="184"/>
      <c r="G126" s="180"/>
      <c r="H126" s="180"/>
      <c r="I126" s="85"/>
    </row>
    <row r="127" spans="1:10" ht="18.75" x14ac:dyDescent="0.3">
      <c r="A127" s="179"/>
      <c r="B127" s="179"/>
      <c r="C127" s="180"/>
      <c r="D127" s="180"/>
      <c r="E127" s="180"/>
      <c r="F127" s="184"/>
      <c r="G127" s="180"/>
      <c r="H127" s="180"/>
      <c r="I127" s="85"/>
    </row>
    <row r="128" spans="1:10" ht="18.75" x14ac:dyDescent="0.3">
      <c r="A128" s="179"/>
      <c r="B128" s="179"/>
      <c r="C128" s="180"/>
      <c r="D128" s="180"/>
      <c r="E128" s="180"/>
      <c r="F128" s="184"/>
      <c r="G128" s="180"/>
      <c r="H128" s="180"/>
      <c r="I128" s="85"/>
    </row>
    <row r="129" spans="1:9" ht="18.75" x14ac:dyDescent="0.3">
      <c r="A129" s="179"/>
      <c r="B129" s="179"/>
      <c r="C129" s="180"/>
      <c r="D129" s="180"/>
      <c r="E129" s="180"/>
      <c r="F129" s="184"/>
      <c r="G129" s="180"/>
      <c r="H129" s="180"/>
      <c r="I129" s="85"/>
    </row>
    <row r="130" spans="1:9" ht="18.75" x14ac:dyDescent="0.3">
      <c r="A130" s="179"/>
      <c r="B130" s="179"/>
      <c r="C130" s="180"/>
      <c r="D130" s="180"/>
      <c r="E130" s="180"/>
      <c r="F130" s="184"/>
      <c r="G130" s="180"/>
      <c r="H130" s="180"/>
      <c r="I130" s="85"/>
    </row>
    <row r="131" spans="1:9" ht="18.75" x14ac:dyDescent="0.3">
      <c r="A131" s="179"/>
      <c r="B131" s="179"/>
      <c r="C131" s="180"/>
      <c r="D131" s="180"/>
      <c r="E131" s="180"/>
      <c r="F131" s="184"/>
      <c r="G131" s="180"/>
      <c r="H131" s="180"/>
      <c r="I131" s="85"/>
    </row>
    <row r="132" spans="1:9" ht="18.75" x14ac:dyDescent="0.3">
      <c r="A132" s="179"/>
      <c r="B132" s="179"/>
      <c r="C132" s="180"/>
      <c r="D132" s="180"/>
      <c r="E132" s="180"/>
      <c r="F132" s="184"/>
      <c r="G132" s="180"/>
      <c r="H132" s="180"/>
      <c r="I132" s="85"/>
    </row>
    <row r="133" spans="1:9" ht="18.75" x14ac:dyDescent="0.3">
      <c r="A133" s="179"/>
      <c r="B133" s="179"/>
      <c r="C133" s="180"/>
      <c r="D133" s="180"/>
      <c r="E133" s="180"/>
      <c r="F133" s="184"/>
      <c r="G133" s="180"/>
      <c r="H133" s="180"/>
      <c r="I133" s="8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34" zoomScale="55" zoomScaleNormal="55" zoomScalePageLayoutView="55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8" t="s">
        <v>45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46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264"/>
    </row>
    <row r="16" spans="1:9" ht="19.5" customHeight="1" x14ac:dyDescent="0.3">
      <c r="A16" s="502" t="s">
        <v>31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47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266" t="s">
        <v>33</v>
      </c>
      <c r="B18" s="501" t="s">
        <v>5</v>
      </c>
      <c r="C18" s="501"/>
      <c r="D18" s="430"/>
      <c r="E18" s="267"/>
      <c r="F18" s="268"/>
      <c r="G18" s="268"/>
      <c r="H18" s="268"/>
    </row>
    <row r="19" spans="1:14" ht="26.25" customHeight="1" x14ac:dyDescent="0.4">
      <c r="A19" s="266" t="s">
        <v>34</v>
      </c>
      <c r="B19" s="269" t="s">
        <v>7</v>
      </c>
      <c r="C19" s="443">
        <v>29</v>
      </c>
      <c r="D19" s="268"/>
      <c r="E19" s="268"/>
      <c r="F19" s="268"/>
      <c r="G19" s="268"/>
      <c r="H19" s="268"/>
    </row>
    <row r="20" spans="1:14" ht="26.25" customHeight="1" x14ac:dyDescent="0.4">
      <c r="A20" s="266" t="s">
        <v>35</v>
      </c>
      <c r="B20" s="506" t="s">
        <v>9</v>
      </c>
      <c r="C20" s="506"/>
      <c r="D20" s="268"/>
      <c r="E20" s="268"/>
      <c r="F20" s="268"/>
      <c r="G20" s="268"/>
      <c r="H20" s="268"/>
    </row>
    <row r="21" spans="1:14" ht="26.25" customHeight="1" x14ac:dyDescent="0.4">
      <c r="A21" s="266" t="s">
        <v>36</v>
      </c>
      <c r="B21" s="506" t="s">
        <v>11</v>
      </c>
      <c r="C21" s="506"/>
      <c r="D21" s="506"/>
      <c r="E21" s="506"/>
      <c r="F21" s="506"/>
      <c r="G21" s="506"/>
      <c r="H21" s="506"/>
      <c r="I21" s="270"/>
    </row>
    <row r="22" spans="1:14" ht="26.25" customHeight="1" x14ac:dyDescent="0.4">
      <c r="A22" s="266" t="s">
        <v>37</v>
      </c>
      <c r="B22" s="271">
        <v>42311</v>
      </c>
      <c r="C22" s="268"/>
      <c r="D22" s="268"/>
      <c r="E22" s="268"/>
      <c r="F22" s="268"/>
      <c r="G22" s="268"/>
      <c r="H22" s="268"/>
    </row>
    <row r="23" spans="1:14" ht="26.25" customHeight="1" x14ac:dyDescent="0.4">
      <c r="A23" s="266" t="s">
        <v>38</v>
      </c>
      <c r="B23" s="271">
        <v>42317</v>
      </c>
      <c r="C23" s="268"/>
      <c r="D23" s="268"/>
      <c r="E23" s="268"/>
      <c r="F23" s="268"/>
      <c r="G23" s="268"/>
      <c r="H23" s="268"/>
    </row>
    <row r="24" spans="1:14" ht="18.75" x14ac:dyDescent="0.3">
      <c r="A24" s="266"/>
      <c r="B24" s="272"/>
    </row>
    <row r="25" spans="1:14" ht="18.75" x14ac:dyDescent="0.3">
      <c r="A25" s="273" t="s">
        <v>1</v>
      </c>
      <c r="B25" s="272"/>
    </row>
    <row r="26" spans="1:14" ht="26.25" customHeight="1" x14ac:dyDescent="0.4">
      <c r="A26" s="274" t="s">
        <v>4</v>
      </c>
      <c r="B26" s="501" t="s">
        <v>127</v>
      </c>
      <c r="C26" s="501"/>
    </row>
    <row r="27" spans="1:14" ht="26.25" customHeight="1" x14ac:dyDescent="0.4">
      <c r="A27" s="275" t="s">
        <v>48</v>
      </c>
      <c r="B27" s="499" t="s">
        <v>128</v>
      </c>
      <c r="C27" s="499"/>
    </row>
    <row r="28" spans="1:14" ht="27" customHeight="1" x14ac:dyDescent="0.4">
      <c r="A28" s="275" t="s">
        <v>6</v>
      </c>
      <c r="B28" s="276">
        <v>99.08</v>
      </c>
    </row>
    <row r="29" spans="1:14" s="8" customFormat="1" ht="27" customHeight="1" x14ac:dyDescent="0.4">
      <c r="A29" s="275" t="s">
        <v>49</v>
      </c>
      <c r="B29" s="277">
        <v>0</v>
      </c>
      <c r="C29" s="476" t="s">
        <v>50</v>
      </c>
      <c r="D29" s="477"/>
      <c r="E29" s="477"/>
      <c r="F29" s="477"/>
      <c r="G29" s="478"/>
      <c r="I29" s="278"/>
      <c r="J29" s="278"/>
      <c r="K29" s="278"/>
      <c r="L29" s="278"/>
    </row>
    <row r="30" spans="1:14" s="8" customFormat="1" ht="19.5" customHeight="1" x14ac:dyDescent="0.3">
      <c r="A30" s="275" t="s">
        <v>51</v>
      </c>
      <c r="B30" s="279">
        <f>B28-B29</f>
        <v>99.08</v>
      </c>
      <c r="C30" s="280"/>
      <c r="D30" s="280"/>
      <c r="E30" s="280"/>
      <c r="F30" s="280"/>
      <c r="G30" s="281"/>
      <c r="I30" s="278"/>
      <c r="J30" s="278"/>
      <c r="K30" s="278"/>
      <c r="L30" s="278"/>
    </row>
    <row r="31" spans="1:14" s="8" customFormat="1" ht="27" customHeight="1" x14ac:dyDescent="0.4">
      <c r="A31" s="275" t="s">
        <v>52</v>
      </c>
      <c r="B31" s="282">
        <v>1</v>
      </c>
      <c r="C31" s="479" t="s">
        <v>53</v>
      </c>
      <c r="D31" s="480"/>
      <c r="E31" s="480"/>
      <c r="F31" s="480"/>
      <c r="G31" s="480"/>
      <c r="H31" s="481"/>
      <c r="I31" s="278"/>
      <c r="J31" s="278"/>
      <c r="K31" s="278"/>
      <c r="L31" s="278"/>
    </row>
    <row r="32" spans="1:14" s="8" customFormat="1" ht="27" customHeight="1" x14ac:dyDescent="0.4">
      <c r="A32" s="275" t="s">
        <v>54</v>
      </c>
      <c r="B32" s="282">
        <v>1</v>
      </c>
      <c r="C32" s="479" t="s">
        <v>55</v>
      </c>
      <c r="D32" s="480"/>
      <c r="E32" s="480"/>
      <c r="F32" s="480"/>
      <c r="G32" s="480"/>
      <c r="H32" s="481"/>
      <c r="I32" s="278"/>
      <c r="J32" s="278"/>
      <c r="K32" s="278"/>
      <c r="L32" s="283"/>
      <c r="M32" s="283"/>
      <c r="N32" s="284"/>
    </row>
    <row r="33" spans="1:14" s="8" customFormat="1" ht="17.25" customHeight="1" x14ac:dyDescent="0.3">
      <c r="A33" s="275"/>
      <c r="B33" s="285"/>
      <c r="C33" s="286"/>
      <c r="D33" s="286"/>
      <c r="E33" s="286"/>
      <c r="F33" s="286"/>
      <c r="G33" s="286"/>
      <c r="H33" s="286"/>
      <c r="I33" s="278"/>
      <c r="J33" s="278"/>
      <c r="K33" s="278"/>
      <c r="L33" s="283"/>
      <c r="M33" s="283"/>
      <c r="N33" s="284"/>
    </row>
    <row r="34" spans="1:14" s="8" customFormat="1" ht="18.75" x14ac:dyDescent="0.3">
      <c r="A34" s="275" t="s">
        <v>56</v>
      </c>
      <c r="B34" s="287">
        <f>B31/B32</f>
        <v>1</v>
      </c>
      <c r="C34" s="265" t="s">
        <v>57</v>
      </c>
      <c r="D34" s="265"/>
      <c r="E34" s="265"/>
      <c r="F34" s="265"/>
      <c r="G34" s="265"/>
      <c r="I34" s="278"/>
      <c r="J34" s="278"/>
      <c r="K34" s="278"/>
      <c r="L34" s="283"/>
      <c r="M34" s="283"/>
      <c r="N34" s="284"/>
    </row>
    <row r="35" spans="1:14" s="8" customFormat="1" ht="19.5" customHeight="1" x14ac:dyDescent="0.3">
      <c r="A35" s="275"/>
      <c r="B35" s="279"/>
      <c r="G35" s="265"/>
      <c r="I35" s="278"/>
      <c r="J35" s="278"/>
      <c r="K35" s="278"/>
      <c r="L35" s="283"/>
      <c r="M35" s="283"/>
      <c r="N35" s="284"/>
    </row>
    <row r="36" spans="1:14" s="8" customFormat="1" ht="27" customHeight="1" x14ac:dyDescent="0.4">
      <c r="A36" s="288" t="s">
        <v>58</v>
      </c>
      <c r="B36" s="289">
        <v>10</v>
      </c>
      <c r="C36" s="265"/>
      <c r="D36" s="482" t="s">
        <v>59</v>
      </c>
      <c r="E36" s="500"/>
      <c r="F36" s="482" t="s">
        <v>60</v>
      </c>
      <c r="G36" s="483"/>
      <c r="J36" s="278"/>
      <c r="K36" s="278"/>
      <c r="L36" s="283"/>
      <c r="M36" s="283"/>
      <c r="N36" s="284"/>
    </row>
    <row r="37" spans="1:14" s="8" customFormat="1" ht="27" customHeight="1" x14ac:dyDescent="0.4">
      <c r="A37" s="290" t="s">
        <v>61</v>
      </c>
      <c r="B37" s="291">
        <v>2</v>
      </c>
      <c r="C37" s="292" t="s">
        <v>62</v>
      </c>
      <c r="D37" s="293" t="s">
        <v>63</v>
      </c>
      <c r="E37" s="294" t="s">
        <v>64</v>
      </c>
      <c r="F37" s="293" t="s">
        <v>63</v>
      </c>
      <c r="G37" s="295" t="s">
        <v>64</v>
      </c>
      <c r="I37" s="296" t="s">
        <v>65</v>
      </c>
      <c r="J37" s="278"/>
      <c r="K37" s="278"/>
      <c r="L37" s="283"/>
      <c r="M37" s="283"/>
      <c r="N37" s="284"/>
    </row>
    <row r="38" spans="1:14" s="8" customFormat="1" ht="26.25" customHeight="1" x14ac:dyDescent="0.4">
      <c r="A38" s="290" t="s">
        <v>66</v>
      </c>
      <c r="B38" s="291">
        <v>100</v>
      </c>
      <c r="C38" s="297">
        <v>1</v>
      </c>
      <c r="D38" s="298">
        <v>21526422</v>
      </c>
      <c r="E38" s="299">
        <f>IF(ISBLANK(D38),"-",$D$48/$D$45*D38)</f>
        <v>20436264.782382399</v>
      </c>
      <c r="F38" s="298">
        <v>24251627</v>
      </c>
      <c r="G38" s="300">
        <f>IF(ISBLANK(F38),"-",$D$48/$F$45*F38)</f>
        <v>20386726.651461009</v>
      </c>
      <c r="I38" s="301"/>
      <c r="J38" s="278"/>
      <c r="K38" s="278"/>
      <c r="L38" s="283"/>
      <c r="M38" s="283"/>
      <c r="N38" s="284"/>
    </row>
    <row r="39" spans="1:14" s="8" customFormat="1" ht="26.25" customHeight="1" x14ac:dyDescent="0.4">
      <c r="A39" s="290" t="s">
        <v>67</v>
      </c>
      <c r="B39" s="291">
        <v>1</v>
      </c>
      <c r="C39" s="302">
        <v>2</v>
      </c>
      <c r="D39" s="303">
        <v>21582228</v>
      </c>
      <c r="E39" s="304">
        <f>IF(ISBLANK(D39),"-",$D$48/$D$45*D39)</f>
        <v>20489244.613050289</v>
      </c>
      <c r="F39" s="303">
        <v>24273028</v>
      </c>
      <c r="G39" s="305">
        <f>IF(ISBLANK(F39),"-",$D$48/$F$45*F39)</f>
        <v>20404717.045963939</v>
      </c>
      <c r="I39" s="484">
        <f>ABS((F43/D43*D42)-F42)/D42</f>
        <v>2.8496872841774004E-3</v>
      </c>
      <c r="J39" s="278"/>
      <c r="K39" s="278"/>
      <c r="L39" s="283"/>
      <c r="M39" s="283"/>
      <c r="N39" s="284"/>
    </row>
    <row r="40" spans="1:14" ht="26.25" customHeight="1" x14ac:dyDescent="0.4">
      <c r="A40" s="290" t="s">
        <v>68</v>
      </c>
      <c r="B40" s="291">
        <v>1</v>
      </c>
      <c r="C40" s="302">
        <v>3</v>
      </c>
      <c r="D40" s="303">
        <v>21515697</v>
      </c>
      <c r="E40" s="304">
        <f>IF(ISBLANK(D40),"-",$D$48/$D$45*D40)</f>
        <v>20426082.925881069</v>
      </c>
      <c r="F40" s="303">
        <v>24273767</v>
      </c>
      <c r="G40" s="305">
        <f>IF(ISBLANK(F40),"-",$D$48/$F$45*F40)</f>
        <v>20405338.274015792</v>
      </c>
      <c r="I40" s="484"/>
      <c r="L40" s="283"/>
      <c r="M40" s="283"/>
      <c r="N40" s="306"/>
    </row>
    <row r="41" spans="1:14" ht="27" customHeight="1" x14ac:dyDescent="0.4">
      <c r="A41" s="290" t="s">
        <v>69</v>
      </c>
      <c r="B41" s="291">
        <v>1</v>
      </c>
      <c r="C41" s="307">
        <v>4</v>
      </c>
      <c r="D41" s="308"/>
      <c r="E41" s="309" t="str">
        <f>IF(ISBLANK(D41),"-",$D$48/$D$45*D41)</f>
        <v>-</v>
      </c>
      <c r="F41" s="308"/>
      <c r="G41" s="310" t="str">
        <f>IF(ISBLANK(F41),"-",$D$48/$F$45*F41)</f>
        <v>-</v>
      </c>
      <c r="I41" s="311"/>
      <c r="L41" s="283"/>
      <c r="M41" s="283"/>
      <c r="N41" s="306"/>
    </row>
    <row r="42" spans="1:14" ht="27" customHeight="1" x14ac:dyDescent="0.4">
      <c r="A42" s="290" t="s">
        <v>70</v>
      </c>
      <c r="B42" s="291">
        <v>1</v>
      </c>
      <c r="C42" s="312" t="s">
        <v>71</v>
      </c>
      <c r="D42" s="313">
        <f>AVERAGE(D38:D41)</f>
        <v>21541449</v>
      </c>
      <c r="E42" s="314">
        <f>AVERAGE(E38:E41)</f>
        <v>20450530.773771252</v>
      </c>
      <c r="F42" s="313">
        <f>AVERAGE(F38:F41)</f>
        <v>24266140.666666668</v>
      </c>
      <c r="G42" s="315">
        <f>AVERAGE(G38:G41)</f>
        <v>20398927.32381358</v>
      </c>
      <c r="H42" s="316"/>
    </row>
    <row r="43" spans="1:14" ht="26.25" customHeight="1" x14ac:dyDescent="0.4">
      <c r="A43" s="290" t="s">
        <v>72</v>
      </c>
      <c r="B43" s="291">
        <v>1</v>
      </c>
      <c r="C43" s="317" t="s">
        <v>73</v>
      </c>
      <c r="D43" s="318">
        <v>17.010000000000002</v>
      </c>
      <c r="E43" s="306"/>
      <c r="F43" s="318">
        <v>19.21</v>
      </c>
      <c r="H43" s="316"/>
    </row>
    <row r="44" spans="1:14" ht="26.25" customHeight="1" x14ac:dyDescent="0.4">
      <c r="A44" s="290" t="s">
        <v>74</v>
      </c>
      <c r="B44" s="291">
        <v>1</v>
      </c>
      <c r="C44" s="319" t="s">
        <v>75</v>
      </c>
      <c r="D44" s="320">
        <f>D43*$B$34</f>
        <v>17.010000000000002</v>
      </c>
      <c r="E44" s="321"/>
      <c r="F44" s="320">
        <f>F43*$B$34</f>
        <v>19.21</v>
      </c>
      <c r="H44" s="316"/>
    </row>
    <row r="45" spans="1:14" ht="19.5" customHeight="1" x14ac:dyDescent="0.3">
      <c r="A45" s="290" t="s">
        <v>76</v>
      </c>
      <c r="B45" s="322">
        <f>(B44/B43)*(B42/B41)*(B40/B39)*(B38/B37)*B36</f>
        <v>500</v>
      </c>
      <c r="C45" s="319" t="s">
        <v>77</v>
      </c>
      <c r="D45" s="323">
        <f>D44*$B$30/100</f>
        <v>16.853508000000001</v>
      </c>
      <c r="E45" s="324"/>
      <c r="F45" s="323">
        <f>F44*$B$30/100</f>
        <v>19.033268</v>
      </c>
      <c r="H45" s="316"/>
    </row>
    <row r="46" spans="1:14" ht="19.5" customHeight="1" x14ac:dyDescent="0.3">
      <c r="A46" s="470" t="s">
        <v>78</v>
      </c>
      <c r="B46" s="471"/>
      <c r="C46" s="319" t="s">
        <v>79</v>
      </c>
      <c r="D46" s="325">
        <f>D45/$B$45</f>
        <v>3.3707016000000006E-2</v>
      </c>
      <c r="E46" s="326"/>
      <c r="F46" s="327">
        <f>F45/$B$45</f>
        <v>3.8066535999999998E-2</v>
      </c>
      <c r="H46" s="316"/>
    </row>
    <row r="47" spans="1:14" ht="27" customHeight="1" x14ac:dyDescent="0.4">
      <c r="A47" s="472"/>
      <c r="B47" s="473"/>
      <c r="C47" s="328" t="s">
        <v>80</v>
      </c>
      <c r="D47" s="329">
        <v>3.2000000000000001E-2</v>
      </c>
      <c r="E47" s="330"/>
      <c r="F47" s="326"/>
      <c r="H47" s="316"/>
    </row>
    <row r="48" spans="1:14" ht="18.75" x14ac:dyDescent="0.3">
      <c r="C48" s="331" t="s">
        <v>81</v>
      </c>
      <c r="D48" s="323">
        <f>D47*$B$45</f>
        <v>16</v>
      </c>
      <c r="F48" s="332"/>
      <c r="H48" s="316"/>
    </row>
    <row r="49" spans="1:12" ht="19.5" customHeight="1" x14ac:dyDescent="0.3">
      <c r="C49" s="333" t="s">
        <v>82</v>
      </c>
      <c r="D49" s="334">
        <f>D48/B34</f>
        <v>16</v>
      </c>
      <c r="F49" s="332"/>
      <c r="H49" s="316"/>
    </row>
    <row r="50" spans="1:12" ht="18.75" x14ac:dyDescent="0.3">
      <c r="C50" s="288" t="s">
        <v>83</v>
      </c>
      <c r="D50" s="335">
        <f>AVERAGE(E38:E41,G38:G41)</f>
        <v>20424729.048792418</v>
      </c>
      <c r="F50" s="336"/>
      <c r="H50" s="316"/>
    </row>
    <row r="51" spans="1:12" ht="18.75" x14ac:dyDescent="0.3">
      <c r="C51" s="290" t="s">
        <v>84</v>
      </c>
      <c r="D51" s="337">
        <f>STDEV(E38:E41,G38:G41)/D50</f>
        <v>1.7677065345759161E-3</v>
      </c>
      <c r="F51" s="336"/>
      <c r="H51" s="316"/>
    </row>
    <row r="52" spans="1:12" ht="19.5" customHeight="1" x14ac:dyDescent="0.3">
      <c r="C52" s="338" t="s">
        <v>20</v>
      </c>
      <c r="D52" s="339">
        <f>COUNT(E38:E41,G38:G41)</f>
        <v>6</v>
      </c>
      <c r="F52" s="336"/>
    </row>
    <row r="54" spans="1:12" ht="18.75" x14ac:dyDescent="0.3">
      <c r="A54" s="340" t="s">
        <v>1</v>
      </c>
      <c r="B54" s="341" t="s">
        <v>85</v>
      </c>
    </row>
    <row r="55" spans="1:12" ht="18.75" x14ac:dyDescent="0.3">
      <c r="A55" s="265" t="s">
        <v>86</v>
      </c>
      <c r="B55" s="342" t="str">
        <f>B21</f>
        <v>each tablets contains dihydroartemesinin 20mg,piperaquine phosphate 160mg.</v>
      </c>
    </row>
    <row r="56" spans="1:12" ht="26.25" customHeight="1" x14ac:dyDescent="0.4">
      <c r="A56" s="343" t="s">
        <v>87</v>
      </c>
      <c r="B56" s="344">
        <v>160</v>
      </c>
      <c r="C56" s="265" t="str">
        <f>B26</f>
        <v>Piperquine Phosphate</v>
      </c>
      <c r="H56" s="345"/>
    </row>
    <row r="57" spans="1:12" ht="18.75" x14ac:dyDescent="0.3">
      <c r="A57" s="342" t="s">
        <v>88</v>
      </c>
      <c r="B57" s="431">
        <f>Uniformity!C46</f>
        <v>300.06549999999999</v>
      </c>
      <c r="H57" s="345"/>
    </row>
    <row r="58" spans="1:12" ht="19.5" customHeight="1" x14ac:dyDescent="0.3">
      <c r="H58" s="345"/>
    </row>
    <row r="59" spans="1:12" s="8" customFormat="1" ht="27" customHeight="1" x14ac:dyDescent="0.4">
      <c r="A59" s="288" t="s">
        <v>89</v>
      </c>
      <c r="B59" s="289">
        <v>100</v>
      </c>
      <c r="C59" s="265"/>
      <c r="D59" s="346" t="s">
        <v>90</v>
      </c>
      <c r="E59" s="347" t="s">
        <v>62</v>
      </c>
      <c r="F59" s="347" t="s">
        <v>63</v>
      </c>
      <c r="G59" s="347" t="s">
        <v>91</v>
      </c>
      <c r="H59" s="292" t="s">
        <v>92</v>
      </c>
      <c r="L59" s="278"/>
    </row>
    <row r="60" spans="1:12" s="8" customFormat="1" ht="26.25" customHeight="1" x14ac:dyDescent="0.4">
      <c r="A60" s="290" t="s">
        <v>93</v>
      </c>
      <c r="B60" s="291">
        <v>2</v>
      </c>
      <c r="C60" s="487" t="s">
        <v>94</v>
      </c>
      <c r="D60" s="490">
        <v>312.22000000000003</v>
      </c>
      <c r="E60" s="348">
        <v>1</v>
      </c>
      <c r="F60" s="349"/>
      <c r="G60" s="432" t="str">
        <f>IF(ISBLANK(F60),"-",(F60/$D$50*$D$47*$B$68)*($B$57/$D$60))</f>
        <v>-</v>
      </c>
      <c r="H60" s="350" t="str">
        <f t="shared" ref="H60:H71" si="0">IF(ISBLANK(F60),"-",G60/$B$56)</f>
        <v>-</v>
      </c>
      <c r="L60" s="278"/>
    </row>
    <row r="61" spans="1:12" s="8" customFormat="1" ht="26.25" customHeight="1" x14ac:dyDescent="0.4">
      <c r="A61" s="290" t="s">
        <v>95</v>
      </c>
      <c r="B61" s="291">
        <v>100</v>
      </c>
      <c r="C61" s="488"/>
      <c r="D61" s="491"/>
      <c r="E61" s="351">
        <v>2</v>
      </c>
      <c r="F61" s="303">
        <v>21723839</v>
      </c>
      <c r="G61" s="433">
        <f>IF(ISBLANK(F61),"-",(F61/$D$50*$D$47*$B$68)*($B$57/$D$60))</f>
        <v>163.55190240390732</v>
      </c>
      <c r="H61" s="352">
        <f t="shared" si="0"/>
        <v>1.0221993900244208</v>
      </c>
      <c r="L61" s="278"/>
    </row>
    <row r="62" spans="1:12" s="8" customFormat="1" ht="26.25" customHeight="1" x14ac:dyDescent="0.4">
      <c r="A62" s="290" t="s">
        <v>96</v>
      </c>
      <c r="B62" s="291">
        <v>1</v>
      </c>
      <c r="C62" s="488"/>
      <c r="D62" s="491"/>
      <c r="E62" s="351">
        <v>3</v>
      </c>
      <c r="F62" s="353">
        <v>21962796</v>
      </c>
      <c r="G62" s="433">
        <f>IF(ISBLANK(F62),"-",(F62/$D$50*$D$47*$B$68)*($B$57/$D$60))</f>
        <v>165.3509339628657</v>
      </c>
      <c r="H62" s="352">
        <f t="shared" si="0"/>
        <v>1.0334433372679106</v>
      </c>
      <c r="L62" s="278"/>
    </row>
    <row r="63" spans="1:12" ht="27" customHeight="1" x14ac:dyDescent="0.4">
      <c r="A63" s="290" t="s">
        <v>97</v>
      </c>
      <c r="B63" s="291">
        <v>1</v>
      </c>
      <c r="C63" s="498"/>
      <c r="D63" s="492"/>
      <c r="E63" s="354">
        <v>4</v>
      </c>
      <c r="F63" s="355"/>
      <c r="G63" s="433" t="str">
        <f>IF(ISBLANK(F63),"-",(F63/$D$50*$D$47*$B$68)*($B$57/$D$60))</f>
        <v>-</v>
      </c>
      <c r="H63" s="352" t="str">
        <f t="shared" si="0"/>
        <v>-</v>
      </c>
    </row>
    <row r="64" spans="1:12" ht="26.25" customHeight="1" x14ac:dyDescent="0.4">
      <c r="A64" s="290" t="s">
        <v>98</v>
      </c>
      <c r="B64" s="291">
        <v>1</v>
      </c>
      <c r="C64" s="487" t="s">
        <v>99</v>
      </c>
      <c r="D64" s="490">
        <v>315.85000000000002</v>
      </c>
      <c r="E64" s="348">
        <v>1</v>
      </c>
      <c r="F64" s="349">
        <v>23139572</v>
      </c>
      <c r="G64" s="434">
        <f>IF(ISBLANK(F64),"-",(F64/$D$50*$D$47*$B$68)*($B$57/$D$64))</f>
        <v>172.20834166380439</v>
      </c>
      <c r="H64" s="356">
        <f t="shared" si="0"/>
        <v>1.0763021353987774</v>
      </c>
    </row>
    <row r="65" spans="1:8" ht="26.25" customHeight="1" x14ac:dyDescent="0.4">
      <c r="A65" s="290" t="s">
        <v>100</v>
      </c>
      <c r="B65" s="291">
        <v>1</v>
      </c>
      <c r="C65" s="488"/>
      <c r="D65" s="491"/>
      <c r="E65" s="351">
        <v>2</v>
      </c>
      <c r="F65" s="303">
        <v>23081971</v>
      </c>
      <c r="G65" s="435">
        <f>IF(ISBLANK(F65),"-",(F65/$D$50*$D$47*$B$68)*($B$57/$D$64))</f>
        <v>171.77966594377907</v>
      </c>
      <c r="H65" s="357">
        <f t="shared" si="0"/>
        <v>1.0736229121486192</v>
      </c>
    </row>
    <row r="66" spans="1:8" ht="26.25" customHeight="1" x14ac:dyDescent="0.4">
      <c r="A66" s="290" t="s">
        <v>101</v>
      </c>
      <c r="B66" s="291">
        <v>1</v>
      </c>
      <c r="C66" s="488"/>
      <c r="D66" s="491"/>
      <c r="E66" s="351">
        <v>3</v>
      </c>
      <c r="F66" s="303">
        <v>23049642</v>
      </c>
      <c r="G66" s="435">
        <f>IF(ISBLANK(F66),"-",(F66/$D$50*$D$47*$B$68)*($B$57/$D$64))</f>
        <v>171.53906843066827</v>
      </c>
      <c r="H66" s="357">
        <f t="shared" si="0"/>
        <v>1.0721191776916768</v>
      </c>
    </row>
    <row r="67" spans="1:8" ht="27" customHeight="1" x14ac:dyDescent="0.4">
      <c r="A67" s="290" t="s">
        <v>102</v>
      </c>
      <c r="B67" s="291">
        <v>1</v>
      </c>
      <c r="C67" s="498"/>
      <c r="D67" s="492"/>
      <c r="E67" s="354">
        <v>4</v>
      </c>
      <c r="F67" s="355"/>
      <c r="G67" s="436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90" t="s">
        <v>103</v>
      </c>
      <c r="B68" s="359">
        <f>(B67/B66)*(B65/B64)*(B63/B62)*(B61/B60)*B59</f>
        <v>5000</v>
      </c>
      <c r="C68" s="487" t="s">
        <v>104</v>
      </c>
      <c r="D68" s="490">
        <v>314.52999999999997</v>
      </c>
      <c r="E68" s="348">
        <v>1</v>
      </c>
      <c r="F68" s="349">
        <v>22927338</v>
      </c>
      <c r="G68" s="434">
        <f>IF(ISBLANK(F68),"-",(F68/$D$50*$D$47*$B$68)*($B$57/$D$68))</f>
        <v>171.34494741798221</v>
      </c>
      <c r="H68" s="352">
        <f t="shared" si="0"/>
        <v>1.0709059213623888</v>
      </c>
    </row>
    <row r="69" spans="1:8" ht="27" customHeight="1" x14ac:dyDescent="0.4">
      <c r="A69" s="338" t="s">
        <v>105</v>
      </c>
      <c r="B69" s="360">
        <f>(D47*B68)/B56*B57</f>
        <v>300.06549999999999</v>
      </c>
      <c r="C69" s="488"/>
      <c r="D69" s="491"/>
      <c r="E69" s="351">
        <v>2</v>
      </c>
      <c r="F69" s="303">
        <v>22856761</v>
      </c>
      <c r="G69" s="435">
        <f>IF(ISBLANK(F69),"-",(F69/$D$50*$D$47*$B$68)*($B$57/$D$68))</f>
        <v>170.81749794461035</v>
      </c>
      <c r="H69" s="352">
        <f t="shared" si="0"/>
        <v>1.0676093621538147</v>
      </c>
    </row>
    <row r="70" spans="1:8" ht="26.25" customHeight="1" x14ac:dyDescent="0.4">
      <c r="A70" s="493" t="s">
        <v>78</v>
      </c>
      <c r="B70" s="494"/>
      <c r="C70" s="488"/>
      <c r="D70" s="491"/>
      <c r="E70" s="351">
        <v>3</v>
      </c>
      <c r="F70" s="303">
        <v>22827542</v>
      </c>
      <c r="G70" s="435">
        <f>IF(ISBLANK(F70),"-",(F70/$D$50*$D$47*$B$68)*($B$57/$D$68))</f>
        <v>170.59913295088074</v>
      </c>
      <c r="H70" s="352">
        <f t="shared" si="0"/>
        <v>1.0662445809430046</v>
      </c>
    </row>
    <row r="71" spans="1:8" ht="27" customHeight="1" x14ac:dyDescent="0.4">
      <c r="A71" s="495"/>
      <c r="B71" s="496"/>
      <c r="C71" s="489"/>
      <c r="D71" s="492"/>
      <c r="E71" s="354">
        <v>4</v>
      </c>
      <c r="F71" s="355"/>
      <c r="G71" s="436" t="str">
        <f>IF(ISBLANK(F71),"-",(F71/$D$50*$D$47*$B$68)*($B$57/$D$68))</f>
        <v>-</v>
      </c>
      <c r="H71" s="361" t="str">
        <f t="shared" si="0"/>
        <v>-</v>
      </c>
    </row>
    <row r="72" spans="1:8" ht="26.25" customHeight="1" x14ac:dyDescent="0.4">
      <c r="A72" s="362"/>
      <c r="B72" s="362"/>
      <c r="C72" s="362"/>
      <c r="D72" s="362"/>
      <c r="E72" s="362"/>
      <c r="F72" s="364" t="s">
        <v>71</v>
      </c>
      <c r="G72" s="441">
        <f>AVERAGE(G60:G71)</f>
        <v>169.64893633981228</v>
      </c>
      <c r="H72" s="365">
        <f>AVERAGE(H60:H71)</f>
        <v>1.0603058521238264</v>
      </c>
    </row>
    <row r="73" spans="1:8" ht="26.25" customHeight="1" x14ac:dyDescent="0.4">
      <c r="C73" s="362"/>
      <c r="D73" s="362"/>
      <c r="E73" s="362"/>
      <c r="F73" s="366" t="s">
        <v>84</v>
      </c>
      <c r="G73" s="437">
        <f>STDEV(G60:G71)/G72</f>
        <v>1.9352760103038217E-2</v>
      </c>
      <c r="H73" s="437">
        <f>STDEV(H60:H71)/H72</f>
        <v>1.9352760103038203E-2</v>
      </c>
    </row>
    <row r="74" spans="1:8" ht="27" customHeight="1" x14ac:dyDescent="0.4">
      <c r="A74" s="362"/>
      <c r="B74" s="362"/>
      <c r="C74" s="363"/>
      <c r="D74" s="363"/>
      <c r="E74" s="367"/>
      <c r="F74" s="368" t="s">
        <v>20</v>
      </c>
      <c r="G74" s="369">
        <f>COUNT(G60:G71)</f>
        <v>8</v>
      </c>
      <c r="H74" s="369">
        <f>COUNT(H60:H71)</f>
        <v>8</v>
      </c>
    </row>
    <row r="76" spans="1:8" ht="26.25" customHeight="1" x14ac:dyDescent="0.4">
      <c r="A76" s="274" t="s">
        <v>106</v>
      </c>
      <c r="B76" s="370" t="s">
        <v>107</v>
      </c>
      <c r="C76" s="474" t="str">
        <f>C56</f>
        <v>Piperquine Phosphate</v>
      </c>
      <c r="D76" s="474"/>
      <c r="E76" s="371" t="s">
        <v>108</v>
      </c>
      <c r="F76" s="371"/>
      <c r="G76" s="372">
        <f>H72</f>
        <v>1.0603058521238264</v>
      </c>
      <c r="H76" s="373"/>
    </row>
    <row r="77" spans="1:8" ht="18.75" x14ac:dyDescent="0.3">
      <c r="A77" s="273" t="s">
        <v>109</v>
      </c>
      <c r="B77" s="273" t="s">
        <v>110</v>
      </c>
    </row>
    <row r="78" spans="1:8" ht="18.75" x14ac:dyDescent="0.3">
      <c r="A78" s="273"/>
      <c r="B78" s="273"/>
    </row>
    <row r="79" spans="1:8" ht="26.25" customHeight="1" x14ac:dyDescent="0.4">
      <c r="A79" s="274" t="s">
        <v>4</v>
      </c>
      <c r="B79" s="497" t="str">
        <f>B26</f>
        <v>Piperquine Phosphate</v>
      </c>
      <c r="C79" s="497"/>
    </row>
    <row r="80" spans="1:8" ht="26.25" customHeight="1" x14ac:dyDescent="0.4">
      <c r="A80" s="275" t="s">
        <v>48</v>
      </c>
      <c r="B80" s="497" t="str">
        <f>B27</f>
        <v>P9-3</v>
      </c>
      <c r="C80" s="497"/>
    </row>
    <row r="81" spans="1:12" ht="27" customHeight="1" x14ac:dyDescent="0.4">
      <c r="A81" s="275" t="s">
        <v>6</v>
      </c>
      <c r="B81" s="374">
        <f>B28</f>
        <v>99.08</v>
      </c>
    </row>
    <row r="82" spans="1:12" s="8" customFormat="1" ht="27" customHeight="1" x14ac:dyDescent="0.4">
      <c r="A82" s="275" t="s">
        <v>49</v>
      </c>
      <c r="B82" s="277">
        <v>0</v>
      </c>
      <c r="C82" s="476" t="s">
        <v>50</v>
      </c>
      <c r="D82" s="477"/>
      <c r="E82" s="477"/>
      <c r="F82" s="477"/>
      <c r="G82" s="478"/>
      <c r="I82" s="278"/>
      <c r="J82" s="278"/>
      <c r="K82" s="278"/>
      <c r="L82" s="278"/>
    </row>
    <row r="83" spans="1:12" s="8" customFormat="1" ht="19.5" customHeight="1" x14ac:dyDescent="0.3">
      <c r="A83" s="275" t="s">
        <v>51</v>
      </c>
      <c r="B83" s="279">
        <f>B81-B82</f>
        <v>99.08</v>
      </c>
      <c r="C83" s="280"/>
      <c r="D83" s="280"/>
      <c r="E83" s="280"/>
      <c r="F83" s="280"/>
      <c r="G83" s="281"/>
      <c r="I83" s="278"/>
      <c r="J83" s="278"/>
      <c r="K83" s="278"/>
      <c r="L83" s="278"/>
    </row>
    <row r="84" spans="1:12" s="8" customFormat="1" ht="27" customHeight="1" x14ac:dyDescent="0.4">
      <c r="A84" s="275" t="s">
        <v>52</v>
      </c>
      <c r="B84" s="282">
        <v>1</v>
      </c>
      <c r="C84" s="479" t="s">
        <v>111</v>
      </c>
      <c r="D84" s="480"/>
      <c r="E84" s="480"/>
      <c r="F84" s="480"/>
      <c r="G84" s="480"/>
      <c r="H84" s="481"/>
      <c r="I84" s="278"/>
      <c r="J84" s="278"/>
      <c r="K84" s="278"/>
      <c r="L84" s="278"/>
    </row>
    <row r="85" spans="1:12" s="8" customFormat="1" ht="27" customHeight="1" x14ac:dyDescent="0.4">
      <c r="A85" s="275" t="s">
        <v>54</v>
      </c>
      <c r="B85" s="282">
        <v>1</v>
      </c>
      <c r="C85" s="479" t="s">
        <v>112</v>
      </c>
      <c r="D85" s="480"/>
      <c r="E85" s="480"/>
      <c r="F85" s="480"/>
      <c r="G85" s="480"/>
      <c r="H85" s="481"/>
      <c r="I85" s="278"/>
      <c r="J85" s="278"/>
      <c r="K85" s="278"/>
      <c r="L85" s="278"/>
    </row>
    <row r="86" spans="1:12" s="8" customFormat="1" ht="18.75" x14ac:dyDescent="0.3">
      <c r="A86" s="275"/>
      <c r="B86" s="285"/>
      <c r="C86" s="286"/>
      <c r="D86" s="286"/>
      <c r="E86" s="286"/>
      <c r="F86" s="286"/>
      <c r="G86" s="286"/>
      <c r="H86" s="286"/>
      <c r="I86" s="278"/>
      <c r="J86" s="278"/>
      <c r="K86" s="278"/>
      <c r="L86" s="278"/>
    </row>
    <row r="87" spans="1:12" s="8" customFormat="1" ht="18.75" x14ac:dyDescent="0.3">
      <c r="A87" s="275" t="s">
        <v>56</v>
      </c>
      <c r="B87" s="287">
        <f>B84/B85</f>
        <v>1</v>
      </c>
      <c r="C87" s="265" t="s">
        <v>57</v>
      </c>
      <c r="D87" s="265"/>
      <c r="E87" s="265"/>
      <c r="F87" s="265"/>
      <c r="G87" s="265"/>
      <c r="I87" s="278"/>
      <c r="J87" s="278"/>
      <c r="K87" s="278"/>
      <c r="L87" s="278"/>
    </row>
    <row r="88" spans="1:12" ht="19.5" customHeight="1" x14ac:dyDescent="0.3">
      <c r="A88" s="273"/>
      <c r="B88" s="273"/>
    </row>
    <row r="89" spans="1:12" ht="27" customHeight="1" x14ac:dyDescent="0.4">
      <c r="A89" s="288" t="s">
        <v>58</v>
      </c>
      <c r="B89" s="289">
        <v>100</v>
      </c>
      <c r="D89" s="375" t="s">
        <v>59</v>
      </c>
      <c r="E89" s="376"/>
      <c r="F89" s="482" t="s">
        <v>60</v>
      </c>
      <c r="G89" s="483"/>
    </row>
    <row r="90" spans="1:12" ht="27" customHeight="1" x14ac:dyDescent="0.4">
      <c r="A90" s="290" t="s">
        <v>61</v>
      </c>
      <c r="B90" s="291">
        <v>4</v>
      </c>
      <c r="C90" s="377" t="s">
        <v>62</v>
      </c>
      <c r="D90" s="293" t="s">
        <v>63</v>
      </c>
      <c r="E90" s="294" t="s">
        <v>64</v>
      </c>
      <c r="F90" s="293" t="s">
        <v>63</v>
      </c>
      <c r="G90" s="378" t="s">
        <v>64</v>
      </c>
      <c r="I90" s="296" t="s">
        <v>65</v>
      </c>
    </row>
    <row r="91" spans="1:12" ht="26.25" customHeight="1" x14ac:dyDescent="0.4">
      <c r="A91" s="290" t="s">
        <v>66</v>
      </c>
      <c r="B91" s="291">
        <v>50</v>
      </c>
      <c r="C91" s="379">
        <v>1</v>
      </c>
      <c r="D91" s="445">
        <v>0.4914</v>
      </c>
      <c r="E91" s="299">
        <f>IF(ISBLANK(D91),"-",$D$101/$D$98*D91)</f>
        <v>0.59374528490394463</v>
      </c>
      <c r="F91" s="445">
        <v>0.48409999999999997</v>
      </c>
      <c r="G91" s="300">
        <f>IF(ISBLANK(F91),"-",$D$101/$F$98*F91)</f>
        <v>0.60827273537145532</v>
      </c>
      <c r="I91" s="301"/>
    </row>
    <row r="92" spans="1:12" ht="26.25" customHeight="1" x14ac:dyDescent="0.4">
      <c r="A92" s="290" t="s">
        <v>67</v>
      </c>
      <c r="B92" s="291">
        <v>1</v>
      </c>
      <c r="C92" s="363">
        <v>2</v>
      </c>
      <c r="D92" s="446">
        <v>0.49370000000000003</v>
      </c>
      <c r="E92" s="304">
        <f>IF(ISBLANK(D92),"-",$D$101/$D$98*D92)</f>
        <v>0.5965243124889652</v>
      </c>
      <c r="F92" s="446">
        <v>0.48520000000000002</v>
      </c>
      <c r="G92" s="305">
        <f>IF(ISBLANK(F92),"-",$D$101/$F$98*F92)</f>
        <v>0.60965488783769917</v>
      </c>
      <c r="I92" s="484">
        <f>ABS((F96/D96*D95)-F95)/D95</f>
        <v>2.2414153717442379E-2</v>
      </c>
    </row>
    <row r="93" spans="1:12" ht="26.25" customHeight="1" x14ac:dyDescent="0.4">
      <c r="A93" s="290" t="s">
        <v>68</v>
      </c>
      <c r="B93" s="291">
        <v>1</v>
      </c>
      <c r="C93" s="363">
        <v>3</v>
      </c>
      <c r="D93" s="446">
        <v>0.49270000000000003</v>
      </c>
      <c r="E93" s="304">
        <f>IF(ISBLANK(D93),"-",$D$101/$D$98*D93)</f>
        <v>0.59531603962591284</v>
      </c>
      <c r="F93" s="446">
        <v>0.4849</v>
      </c>
      <c r="G93" s="305">
        <f>IF(ISBLANK(F93),"-",$D$101/$F$98*F93)</f>
        <v>0.60927793716508716</v>
      </c>
      <c r="I93" s="484"/>
    </row>
    <row r="94" spans="1:12" ht="27" customHeight="1" x14ac:dyDescent="0.4">
      <c r="A94" s="290" t="s">
        <v>69</v>
      </c>
      <c r="B94" s="291">
        <v>1</v>
      </c>
      <c r="C94" s="380">
        <v>4</v>
      </c>
      <c r="D94" s="447"/>
      <c r="E94" s="309" t="str">
        <f>IF(ISBLANK(D94),"-",$D$101/$D$98*D94)</f>
        <v>-</v>
      </c>
      <c r="F94" s="447"/>
      <c r="G94" s="310" t="str">
        <f>IF(ISBLANK(F94),"-",$D$101/$F$98*F94)</f>
        <v>-</v>
      </c>
      <c r="I94" s="311"/>
    </row>
    <row r="95" spans="1:12" ht="27" customHeight="1" x14ac:dyDescent="0.4">
      <c r="A95" s="290" t="s">
        <v>70</v>
      </c>
      <c r="B95" s="291">
        <v>1</v>
      </c>
      <c r="C95" s="381" t="s">
        <v>71</v>
      </c>
      <c r="D95" s="382">
        <f>AVERAGE(D91:D94)</f>
        <v>0.49260000000000009</v>
      </c>
      <c r="E95" s="314">
        <f>AVERAGE(E91:E94)</f>
        <v>0.59519521233960759</v>
      </c>
      <c r="F95" s="383">
        <f>AVERAGE(F91:F94)</f>
        <v>0.4847333333333334</v>
      </c>
      <c r="G95" s="384">
        <f>AVERAGE(G91:G94)</f>
        <v>0.60906852012474721</v>
      </c>
    </row>
    <row r="96" spans="1:12" ht="26.25" customHeight="1" x14ac:dyDescent="0.4">
      <c r="A96" s="290" t="s">
        <v>72</v>
      </c>
      <c r="B96" s="276">
        <v>1</v>
      </c>
      <c r="C96" s="385" t="s">
        <v>113</v>
      </c>
      <c r="D96" s="386">
        <v>14.85</v>
      </c>
      <c r="E96" s="306"/>
      <c r="F96" s="318">
        <v>14.28</v>
      </c>
    </row>
    <row r="97" spans="1:10" ht="26.25" customHeight="1" x14ac:dyDescent="0.4">
      <c r="A97" s="290" t="s">
        <v>74</v>
      </c>
      <c r="B97" s="276">
        <v>1</v>
      </c>
      <c r="C97" s="387" t="s">
        <v>114</v>
      </c>
      <c r="D97" s="388">
        <f>D96*$B$87</f>
        <v>14.85</v>
      </c>
      <c r="E97" s="321"/>
      <c r="F97" s="320">
        <f>F96*$B$87</f>
        <v>14.28</v>
      </c>
    </row>
    <row r="98" spans="1:10" ht="19.5" customHeight="1" x14ac:dyDescent="0.3">
      <c r="A98" s="290" t="s">
        <v>76</v>
      </c>
      <c r="B98" s="389">
        <f>(B97/B96)*(B95/B94)*(B93/B92)*(B91/B90)*B89</f>
        <v>1250</v>
      </c>
      <c r="C98" s="387" t="s">
        <v>115</v>
      </c>
      <c r="D98" s="390">
        <f>D97*$B$83/100</f>
        <v>14.713379999999999</v>
      </c>
      <c r="E98" s="324"/>
      <c r="F98" s="323">
        <f>F97*$B$83/100</f>
        <v>14.148624</v>
      </c>
    </row>
    <row r="99" spans="1:10" ht="19.5" customHeight="1" x14ac:dyDescent="0.3">
      <c r="A99" s="470" t="s">
        <v>78</v>
      </c>
      <c r="B99" s="485"/>
      <c r="C99" s="387" t="s">
        <v>116</v>
      </c>
      <c r="D99" s="391">
        <f>D98/$B$98</f>
        <v>1.1770704E-2</v>
      </c>
      <c r="E99" s="324"/>
      <c r="F99" s="327">
        <f>F98/$B$98</f>
        <v>1.13188992E-2</v>
      </c>
      <c r="G99" s="392"/>
      <c r="H99" s="316"/>
    </row>
    <row r="100" spans="1:10" ht="19.5" customHeight="1" x14ac:dyDescent="0.3">
      <c r="A100" s="472"/>
      <c r="B100" s="486"/>
      <c r="C100" s="387" t="s">
        <v>80</v>
      </c>
      <c r="D100" s="393">
        <f>$B$56/$B$116</f>
        <v>1.4222222222222223E-2</v>
      </c>
      <c r="F100" s="332"/>
      <c r="G100" s="394"/>
      <c r="H100" s="316"/>
    </row>
    <row r="101" spans="1:10" ht="18.75" x14ac:dyDescent="0.3">
      <c r="C101" s="387" t="s">
        <v>81</v>
      </c>
      <c r="D101" s="388">
        <f>D100*$B$98</f>
        <v>17.777777777777779</v>
      </c>
      <c r="F101" s="332"/>
      <c r="G101" s="392"/>
      <c r="H101" s="316"/>
    </row>
    <row r="102" spans="1:10" ht="19.5" customHeight="1" x14ac:dyDescent="0.3">
      <c r="C102" s="395" t="s">
        <v>82</v>
      </c>
      <c r="D102" s="396">
        <f>D101/B34</f>
        <v>17.777777777777779</v>
      </c>
      <c r="F102" s="336"/>
      <c r="G102" s="392"/>
      <c r="H102" s="316"/>
      <c r="J102" s="397"/>
    </row>
    <row r="103" spans="1:10" ht="18.75" x14ac:dyDescent="0.3">
      <c r="C103" s="398" t="s">
        <v>117</v>
      </c>
      <c r="D103" s="399">
        <f>AVERAGE(E91:E94,G91:G94)</f>
        <v>0.6021318662321774</v>
      </c>
      <c r="F103" s="336"/>
      <c r="G103" s="400"/>
      <c r="H103" s="316"/>
      <c r="J103" s="401"/>
    </row>
    <row r="104" spans="1:10" ht="18.75" x14ac:dyDescent="0.3">
      <c r="C104" s="366" t="s">
        <v>84</v>
      </c>
      <c r="D104" s="402">
        <f>STDEV(E91:E94,G91:G94)/D103</f>
        <v>1.2726437578926655E-2</v>
      </c>
      <c r="F104" s="336"/>
      <c r="G104" s="392"/>
      <c r="H104" s="316"/>
      <c r="J104" s="401"/>
    </row>
    <row r="105" spans="1:10" ht="19.5" customHeight="1" x14ac:dyDescent="0.3">
      <c r="C105" s="368" t="s">
        <v>20</v>
      </c>
      <c r="D105" s="403">
        <f>COUNT(E91:E94,G91:G94)</f>
        <v>6</v>
      </c>
      <c r="F105" s="336"/>
      <c r="G105" s="392"/>
      <c r="H105" s="316"/>
      <c r="J105" s="401"/>
    </row>
    <row r="106" spans="1:10" ht="19.5" customHeight="1" x14ac:dyDescent="0.3">
      <c r="A106" s="340"/>
      <c r="B106" s="340"/>
      <c r="C106" s="340"/>
      <c r="D106" s="340"/>
      <c r="E106" s="340"/>
    </row>
    <row r="107" spans="1:10" ht="26.25" customHeight="1" x14ac:dyDescent="0.4">
      <c r="A107" s="288" t="s">
        <v>118</v>
      </c>
      <c r="B107" s="289">
        <v>900</v>
      </c>
      <c r="C107" s="404" t="s">
        <v>119</v>
      </c>
      <c r="D107" s="405" t="s">
        <v>63</v>
      </c>
      <c r="E107" s="406" t="s">
        <v>120</v>
      </c>
      <c r="F107" s="407" t="s">
        <v>121</v>
      </c>
    </row>
    <row r="108" spans="1:10" ht="26.25" customHeight="1" x14ac:dyDescent="0.4">
      <c r="A108" s="290" t="s">
        <v>122</v>
      </c>
      <c r="B108" s="291">
        <v>4</v>
      </c>
      <c r="C108" s="408">
        <v>1</v>
      </c>
      <c r="D108" s="448">
        <v>0.52039999999999997</v>
      </c>
      <c r="E108" s="438">
        <f t="shared" ref="E108:E113" si="1">IF(ISBLANK(D108),"-",D108/$D$103*$D$100*$B$116)</f>
        <v>138.28200211528755</v>
      </c>
      <c r="F108" s="409">
        <f t="shared" ref="F108:F113" si="2">IF(ISBLANK(D108), "-", E108/$B$56)</f>
        <v>0.86426251322054726</v>
      </c>
    </row>
    <row r="109" spans="1:10" ht="26.25" customHeight="1" x14ac:dyDescent="0.4">
      <c r="A109" s="290" t="s">
        <v>95</v>
      </c>
      <c r="B109" s="291">
        <v>50</v>
      </c>
      <c r="C109" s="408">
        <v>2</v>
      </c>
      <c r="D109" s="448">
        <v>0.52810000000000001</v>
      </c>
      <c r="E109" s="439">
        <f t="shared" si="1"/>
        <v>140.32806555934545</v>
      </c>
      <c r="F109" s="410">
        <f t="shared" si="2"/>
        <v>0.87705040974590909</v>
      </c>
    </row>
    <row r="110" spans="1:10" ht="26.25" customHeight="1" x14ac:dyDescent="0.4">
      <c r="A110" s="290" t="s">
        <v>96</v>
      </c>
      <c r="B110" s="291">
        <v>1</v>
      </c>
      <c r="C110" s="408">
        <v>3</v>
      </c>
      <c r="D110" s="448">
        <v>0.5202</v>
      </c>
      <c r="E110" s="439">
        <f t="shared" si="1"/>
        <v>138.2288576102471</v>
      </c>
      <c r="F110" s="410">
        <f t="shared" si="2"/>
        <v>0.86393036006404444</v>
      </c>
    </row>
    <row r="111" spans="1:10" ht="26.25" customHeight="1" x14ac:dyDescent="0.4">
      <c r="A111" s="290" t="s">
        <v>97</v>
      </c>
      <c r="B111" s="291">
        <v>1</v>
      </c>
      <c r="C111" s="408">
        <v>4</v>
      </c>
      <c r="D111" s="448">
        <v>0.52180000000000004</v>
      </c>
      <c r="E111" s="439">
        <f t="shared" si="1"/>
        <v>138.65401365057085</v>
      </c>
      <c r="F111" s="410">
        <f t="shared" si="2"/>
        <v>0.86658758531606783</v>
      </c>
    </row>
    <row r="112" spans="1:10" ht="26.25" customHeight="1" x14ac:dyDescent="0.4">
      <c r="A112" s="290" t="s">
        <v>98</v>
      </c>
      <c r="B112" s="291">
        <v>1</v>
      </c>
      <c r="C112" s="408">
        <v>5</v>
      </c>
      <c r="D112" s="448">
        <v>0.52649999999999997</v>
      </c>
      <c r="E112" s="439">
        <f t="shared" si="1"/>
        <v>139.9029095190217</v>
      </c>
      <c r="F112" s="410">
        <f t="shared" si="2"/>
        <v>0.8743931844938857</v>
      </c>
    </row>
    <row r="113" spans="1:10" ht="26.25" customHeight="1" x14ac:dyDescent="0.4">
      <c r="A113" s="290" t="s">
        <v>100</v>
      </c>
      <c r="B113" s="291">
        <v>1</v>
      </c>
      <c r="C113" s="411">
        <v>6</v>
      </c>
      <c r="D113" s="449">
        <v>0.51870000000000005</v>
      </c>
      <c r="E113" s="440">
        <f t="shared" si="1"/>
        <v>137.83027382244364</v>
      </c>
      <c r="F113" s="412">
        <f t="shared" si="2"/>
        <v>0.8614392113902728</v>
      </c>
    </row>
    <row r="114" spans="1:10" ht="26.25" customHeight="1" x14ac:dyDescent="0.4">
      <c r="A114" s="290" t="s">
        <v>101</v>
      </c>
      <c r="B114" s="291">
        <v>1</v>
      </c>
      <c r="C114" s="408"/>
      <c r="D114" s="363"/>
      <c r="E114" s="264"/>
      <c r="F114" s="413"/>
    </row>
    <row r="115" spans="1:10" ht="26.25" customHeight="1" x14ac:dyDescent="0.4">
      <c r="A115" s="290" t="s">
        <v>102</v>
      </c>
      <c r="B115" s="291">
        <v>1</v>
      </c>
      <c r="C115" s="408"/>
      <c r="D115" s="414" t="s">
        <v>71</v>
      </c>
      <c r="E115" s="442">
        <f>AVERAGE(E108:E113)</f>
        <v>138.87102037948605</v>
      </c>
      <c r="F115" s="415">
        <f>AVERAGE(F108:F113)</f>
        <v>0.86794387737178791</v>
      </c>
    </row>
    <row r="116" spans="1:10" ht="27" customHeight="1" x14ac:dyDescent="0.4">
      <c r="A116" s="290" t="s">
        <v>103</v>
      </c>
      <c r="B116" s="322">
        <f>(B115/B114)*(B113/B112)*(B111/B110)*(B109/B108)*B107</f>
        <v>11250</v>
      </c>
      <c r="C116" s="416"/>
      <c r="D116" s="381" t="s">
        <v>84</v>
      </c>
      <c r="E116" s="417">
        <f>STDEV(E108:E113)/E115</f>
        <v>7.2564023230807214E-3</v>
      </c>
      <c r="F116" s="417">
        <f>STDEV(F108:F113)/F115</f>
        <v>7.2564023230807266E-3</v>
      </c>
      <c r="I116" s="264"/>
    </row>
    <row r="117" spans="1:10" ht="27" customHeight="1" x14ac:dyDescent="0.4">
      <c r="A117" s="470" t="s">
        <v>78</v>
      </c>
      <c r="B117" s="471"/>
      <c r="C117" s="418"/>
      <c r="D117" s="419" t="s">
        <v>20</v>
      </c>
      <c r="E117" s="420">
        <f>COUNT(E108:E113)</f>
        <v>6</v>
      </c>
      <c r="F117" s="420">
        <f>COUNT(F108:F113)</f>
        <v>6</v>
      </c>
      <c r="I117" s="264"/>
      <c r="J117" s="401"/>
    </row>
    <row r="118" spans="1:10" ht="19.5" customHeight="1" x14ac:dyDescent="0.3">
      <c r="A118" s="472"/>
      <c r="B118" s="473"/>
      <c r="C118" s="264"/>
      <c r="D118" s="264"/>
      <c r="E118" s="264"/>
      <c r="F118" s="363"/>
      <c r="G118" s="264"/>
      <c r="H118" s="264"/>
      <c r="I118" s="264"/>
    </row>
    <row r="119" spans="1:10" ht="18.75" x14ac:dyDescent="0.3">
      <c r="A119" s="429"/>
      <c r="B119" s="286"/>
      <c r="C119" s="264"/>
      <c r="D119" s="264"/>
      <c r="E119" s="264"/>
      <c r="F119" s="363"/>
      <c r="G119" s="264"/>
      <c r="H119" s="264"/>
      <c r="I119" s="264"/>
    </row>
    <row r="120" spans="1:10" ht="26.25" customHeight="1" x14ac:dyDescent="0.4">
      <c r="A120" s="274" t="s">
        <v>106</v>
      </c>
      <c r="B120" s="370" t="s">
        <v>123</v>
      </c>
      <c r="C120" s="474" t="str">
        <f>C76</f>
        <v>Piperquine Phosphate</v>
      </c>
      <c r="D120" s="474"/>
      <c r="E120" s="371" t="s">
        <v>124</v>
      </c>
      <c r="F120" s="371"/>
      <c r="G120" s="372">
        <f>F115</f>
        <v>0.86794387737178791</v>
      </c>
      <c r="H120" s="264"/>
      <c r="I120" s="264"/>
    </row>
    <row r="121" spans="1:10" ht="19.5" customHeight="1" x14ac:dyDescent="0.3">
      <c r="A121" s="421"/>
      <c r="B121" s="421"/>
      <c r="C121" s="422"/>
      <c r="D121" s="422"/>
      <c r="E121" s="422"/>
      <c r="F121" s="422"/>
      <c r="G121" s="422"/>
      <c r="H121" s="422"/>
    </row>
    <row r="122" spans="1:10" ht="18.75" x14ac:dyDescent="0.3">
      <c r="B122" s="475" t="s">
        <v>26</v>
      </c>
      <c r="C122" s="475"/>
      <c r="E122" s="377" t="s">
        <v>27</v>
      </c>
      <c r="F122" s="423"/>
      <c r="G122" s="475" t="s">
        <v>28</v>
      </c>
      <c r="H122" s="475"/>
    </row>
    <row r="123" spans="1:10" ht="69.95" customHeight="1" x14ac:dyDescent="0.3">
      <c r="A123" s="424" t="s">
        <v>29</v>
      </c>
      <c r="B123" s="425"/>
      <c r="C123" s="425"/>
      <c r="E123" s="425"/>
      <c r="F123" s="264"/>
      <c r="G123" s="426"/>
      <c r="H123" s="426"/>
    </row>
    <row r="124" spans="1:10" ht="69.95" customHeight="1" x14ac:dyDescent="0.3">
      <c r="A124" s="424" t="s">
        <v>30</v>
      </c>
      <c r="B124" s="427"/>
      <c r="C124" s="427"/>
      <c r="E124" s="427"/>
      <c r="F124" s="264"/>
      <c r="G124" s="428"/>
      <c r="H124" s="428"/>
    </row>
    <row r="125" spans="1:10" ht="18.75" x14ac:dyDescent="0.3">
      <c r="A125" s="362"/>
      <c r="B125" s="362"/>
      <c r="C125" s="363"/>
      <c r="D125" s="363"/>
      <c r="E125" s="363"/>
      <c r="F125" s="367"/>
      <c r="G125" s="363"/>
      <c r="H125" s="363"/>
      <c r="I125" s="264"/>
    </row>
    <row r="126" spans="1:10" ht="18.75" x14ac:dyDescent="0.3">
      <c r="A126" s="362"/>
      <c r="B126" s="362"/>
      <c r="C126" s="363"/>
      <c r="D126" s="363"/>
      <c r="E126" s="363"/>
      <c r="F126" s="367"/>
      <c r="G126" s="363"/>
      <c r="H126" s="363"/>
      <c r="I126" s="264"/>
    </row>
    <row r="127" spans="1:10" ht="18.75" x14ac:dyDescent="0.3">
      <c r="A127" s="362"/>
      <c r="B127" s="362"/>
      <c r="C127" s="363"/>
      <c r="D127" s="363"/>
      <c r="E127" s="363"/>
      <c r="F127" s="367"/>
      <c r="G127" s="363"/>
      <c r="H127" s="363"/>
      <c r="I127" s="264"/>
    </row>
    <row r="128" spans="1:10" ht="18.75" x14ac:dyDescent="0.3">
      <c r="A128" s="362"/>
      <c r="B128" s="362"/>
      <c r="C128" s="363"/>
      <c r="D128" s="363"/>
      <c r="E128" s="363"/>
      <c r="F128" s="367"/>
      <c r="G128" s="363"/>
      <c r="H128" s="363"/>
      <c r="I128" s="264"/>
    </row>
    <row r="129" spans="1:9" ht="18.75" x14ac:dyDescent="0.3">
      <c r="A129" s="362"/>
      <c r="B129" s="362"/>
      <c r="C129" s="363"/>
      <c r="D129" s="363"/>
      <c r="E129" s="363"/>
      <c r="F129" s="367"/>
      <c r="G129" s="363"/>
      <c r="H129" s="363"/>
      <c r="I129" s="264"/>
    </row>
    <row r="130" spans="1:9" ht="18.75" x14ac:dyDescent="0.3">
      <c r="A130" s="362"/>
      <c r="B130" s="362"/>
      <c r="C130" s="363"/>
      <c r="D130" s="363"/>
      <c r="E130" s="363"/>
      <c r="F130" s="367"/>
      <c r="G130" s="363"/>
      <c r="H130" s="363"/>
      <c r="I130" s="264"/>
    </row>
    <row r="131" spans="1:9" ht="18.75" x14ac:dyDescent="0.3">
      <c r="A131" s="362"/>
      <c r="B131" s="362"/>
      <c r="C131" s="363"/>
      <c r="D131" s="363"/>
      <c r="E131" s="363"/>
      <c r="F131" s="367"/>
      <c r="G131" s="363"/>
      <c r="H131" s="363"/>
      <c r="I131" s="264"/>
    </row>
    <row r="132" spans="1:9" ht="18.75" x14ac:dyDescent="0.3">
      <c r="A132" s="362"/>
      <c r="B132" s="362"/>
      <c r="C132" s="363"/>
      <c r="D132" s="363"/>
      <c r="E132" s="363"/>
      <c r="F132" s="367"/>
      <c r="G132" s="363"/>
      <c r="H132" s="363"/>
      <c r="I132" s="264"/>
    </row>
    <row r="133" spans="1:9" ht="18.75" x14ac:dyDescent="0.3">
      <c r="A133" s="362"/>
      <c r="B133" s="362"/>
      <c r="C133" s="363"/>
      <c r="D133" s="363"/>
      <c r="E133" s="363"/>
      <c r="F133" s="367"/>
      <c r="G133" s="363"/>
      <c r="H133" s="363"/>
      <c r="I133" s="26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SST-PPQ</vt:lpstr>
      <vt:lpstr>SST-DHA</vt:lpstr>
      <vt:lpstr>Uniformity</vt:lpstr>
      <vt:lpstr>Dihydroartemisinin</vt:lpstr>
      <vt:lpstr>Piperaquine Phosphate</vt:lpstr>
      <vt:lpstr>Dihydroartemisinin!Print_Area</vt:lpstr>
      <vt:lpstr>'Piperaquine Phosphate'!Print_Area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2015-12-07T15:03:27Z</cp:lastPrinted>
  <dcterms:created xsi:type="dcterms:W3CDTF">2005-07-05T10:19:27Z</dcterms:created>
  <dcterms:modified xsi:type="dcterms:W3CDTF">2015-12-08T06:06:26Z</dcterms:modified>
</cp:coreProperties>
</file>