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55" windowWidth="15015" windowHeight="7620" activeTab="5"/>
  </bookViews>
  <sheets>
    <sheet name="SST-DHA" sheetId="5" r:id="rId1"/>
    <sheet name="SST-DHA (2)" sheetId="7" r:id="rId2"/>
    <sheet name="SST-PPQ" sheetId="1" r:id="rId3"/>
    <sheet name="Uniformity" sheetId="2" r:id="rId4"/>
    <sheet name="Dihydroartemisinin" sheetId="3" r:id="rId5"/>
    <sheet name="Dihydroartemisinin (2)" sheetId="6" r:id="rId6"/>
    <sheet name="Piperaquine Phosphate" sheetId="4" r:id="rId7"/>
  </sheets>
  <definedNames>
    <definedName name="_xlnm.Print_Area" localSheetId="4">Dihydroartemisinin!$A$1:$H$125</definedName>
    <definedName name="_xlnm.Print_Area" localSheetId="5">'Dihydroartemisinin (2)'!$A$1:$H$125</definedName>
    <definedName name="_xlnm.Print_Area" localSheetId="6">'Piperaquine Phosphate'!$A$1:$I$125</definedName>
    <definedName name="_xlnm.Print_Area" localSheetId="3">Uniformity!$A$1:$F$54</definedName>
  </definedNames>
  <calcPr calcId="145621"/>
</workbook>
</file>

<file path=xl/calcChain.xml><?xml version="1.0" encoding="utf-8"?>
<calcChain xmlns="http://schemas.openxmlformats.org/spreadsheetml/2006/main">
  <c r="B41" i="7" l="1"/>
  <c r="B42" i="7" s="1"/>
  <c r="B40" i="7"/>
  <c r="B39" i="7"/>
  <c r="B53" i="7"/>
  <c r="E51" i="7"/>
  <c r="D51" i="7"/>
  <c r="C51" i="7"/>
  <c r="B51" i="7"/>
  <c r="B52" i="7" s="1"/>
  <c r="B32" i="7"/>
  <c r="E30" i="7"/>
  <c r="D30" i="7"/>
  <c r="C30" i="7"/>
  <c r="B30" i="7"/>
  <c r="B31" i="7" s="1"/>
  <c r="B20" i="7"/>
  <c r="B21" i="7" s="1"/>
  <c r="B19" i="7"/>
  <c r="B18" i="7"/>
  <c r="C120" i="6"/>
  <c r="B116" i="6"/>
  <c r="D100" i="6"/>
  <c r="B98" i="6"/>
  <c r="F95" i="6"/>
  <c r="D95" i="6"/>
  <c r="I92" i="6" s="1"/>
  <c r="G94" i="6"/>
  <c r="E94" i="6"/>
  <c r="B87" i="6"/>
  <c r="F97" i="6" s="1"/>
  <c r="F98" i="6" s="1"/>
  <c r="F99" i="6" s="1"/>
  <c r="B83" i="6"/>
  <c r="B80" i="6"/>
  <c r="B79" i="6"/>
  <c r="C76" i="6"/>
  <c r="H71" i="6"/>
  <c r="G71" i="6"/>
  <c r="B68" i="6"/>
  <c r="B69" i="6" s="1"/>
  <c r="H67" i="6"/>
  <c r="G67" i="6"/>
  <c r="H65" i="6"/>
  <c r="G65" i="6"/>
  <c r="H63" i="6"/>
  <c r="G63" i="6"/>
  <c r="H61" i="6"/>
  <c r="G61" i="6"/>
  <c r="B57" i="6"/>
  <c r="C56" i="6"/>
  <c r="B55" i="6"/>
  <c r="B45" i="6"/>
  <c r="D48" i="6" s="1"/>
  <c r="F44" i="6"/>
  <c r="F45" i="6" s="1"/>
  <c r="F46" i="6" s="1"/>
  <c r="F42" i="6"/>
  <c r="I39" i="6" s="1"/>
  <c r="D42" i="6"/>
  <c r="G41" i="6"/>
  <c r="E41" i="6"/>
  <c r="B34" i="6"/>
  <c r="D44" i="6" s="1"/>
  <c r="D45" i="6" s="1"/>
  <c r="D46" i="6" s="1"/>
  <c r="B30" i="6"/>
  <c r="D101" i="6" l="1"/>
  <c r="G93" i="6" s="1"/>
  <c r="G39" i="6"/>
  <c r="G40" i="6"/>
  <c r="E39" i="6"/>
  <c r="D49" i="6"/>
  <c r="E40" i="6"/>
  <c r="G38" i="6"/>
  <c r="G42" i="6" s="1"/>
  <c r="E38" i="6"/>
  <c r="D97" i="6"/>
  <c r="D98" i="6" s="1"/>
  <c r="D99" i="6" s="1"/>
  <c r="B20" i="1"/>
  <c r="D102" i="6" l="1"/>
  <c r="G91" i="6"/>
  <c r="G92" i="6"/>
  <c r="E93" i="6"/>
  <c r="E91" i="6"/>
  <c r="E92" i="6"/>
  <c r="D52" i="6"/>
  <c r="D50" i="6"/>
  <c r="E42" i="6"/>
  <c r="B18" i="1"/>
  <c r="B41" i="5"/>
  <c r="B39" i="5"/>
  <c r="B18" i="5"/>
  <c r="B20" i="5"/>
  <c r="G95" i="6" l="1"/>
  <c r="G69" i="6"/>
  <c r="H69" i="6" s="1"/>
  <c r="G66" i="6"/>
  <c r="H66" i="6" s="1"/>
  <c r="G64" i="6"/>
  <c r="H64" i="6" s="1"/>
  <c r="G62" i="6"/>
  <c r="H62" i="6" s="1"/>
  <c r="G60" i="6"/>
  <c r="D51" i="6"/>
  <c r="G70" i="6"/>
  <c r="H70" i="6" s="1"/>
  <c r="G68" i="6"/>
  <c r="H68" i="6" s="1"/>
  <c r="E95" i="6"/>
  <c r="D105" i="6"/>
  <c r="D103" i="6"/>
  <c r="B53" i="5"/>
  <c r="E51" i="5"/>
  <c r="D51" i="5"/>
  <c r="C51" i="5"/>
  <c r="B51" i="5"/>
  <c r="B52" i="5" s="1"/>
  <c r="B32" i="5"/>
  <c r="E30" i="5"/>
  <c r="D30" i="5"/>
  <c r="C30" i="5"/>
  <c r="B30" i="5"/>
  <c r="B31" i="5" s="1"/>
  <c r="G74" i="6" l="1"/>
  <c r="H60" i="6"/>
  <c r="G72" i="6"/>
  <c r="G73" i="6" s="1"/>
  <c r="E112" i="6"/>
  <c r="F112" i="6" s="1"/>
  <c r="E110" i="6"/>
  <c r="F110" i="6" s="1"/>
  <c r="E108" i="6"/>
  <c r="E113" i="6"/>
  <c r="F113" i="6" s="1"/>
  <c r="E111" i="6"/>
  <c r="F111" i="6" s="1"/>
  <c r="E109" i="6"/>
  <c r="F109" i="6" s="1"/>
  <c r="D104" i="6"/>
  <c r="B45" i="4"/>
  <c r="B21" i="1" s="1"/>
  <c r="E115" i="6" l="1"/>
  <c r="E116" i="6" s="1"/>
  <c r="E117" i="6"/>
  <c r="F108" i="6"/>
  <c r="H74" i="6"/>
  <c r="H72" i="6"/>
  <c r="C120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D48" i="4"/>
  <c r="F42" i="4"/>
  <c r="D42" i="4"/>
  <c r="B34" i="4"/>
  <c r="D44" i="4" s="1"/>
  <c r="D45" i="4" s="1"/>
  <c r="B30" i="4"/>
  <c r="B19" i="1" s="1"/>
  <c r="C120" i="3"/>
  <c r="B116" i="3"/>
  <c r="D100" i="3" s="1"/>
  <c r="B98" i="3"/>
  <c r="B42" i="5" s="1"/>
  <c r="F95" i="3"/>
  <c r="D95" i="3"/>
  <c r="B87" i="3"/>
  <c r="F97" i="3" s="1"/>
  <c r="B83" i="3"/>
  <c r="B80" i="3"/>
  <c r="B79" i="3"/>
  <c r="C76" i="3"/>
  <c r="B68" i="3"/>
  <c r="C56" i="3"/>
  <c r="B55" i="3"/>
  <c r="B45" i="3"/>
  <c r="F42" i="3"/>
  <c r="D42" i="3"/>
  <c r="B34" i="3"/>
  <c r="D44" i="3" s="1"/>
  <c r="B30" i="3"/>
  <c r="B19" i="5" s="1"/>
  <c r="B40" i="5" s="1"/>
  <c r="C46" i="2"/>
  <c r="D50" i="2" s="1"/>
  <c r="C45" i="2"/>
  <c r="D43" i="2"/>
  <c r="D40" i="2"/>
  <c r="D39" i="2"/>
  <c r="D37" i="2"/>
  <c r="D35" i="2"/>
  <c r="D33" i="2"/>
  <c r="D32" i="2"/>
  <c r="D29" i="2"/>
  <c r="D28" i="2"/>
  <c r="D27" i="2"/>
  <c r="D24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G76" i="6" l="1"/>
  <c r="H73" i="6"/>
  <c r="F117" i="6"/>
  <c r="F115" i="6"/>
  <c r="D48" i="3"/>
  <c r="B21" i="5"/>
  <c r="D25" i="2"/>
  <c r="D31" i="2"/>
  <c r="D36" i="2"/>
  <c r="D41" i="2"/>
  <c r="D49" i="2"/>
  <c r="B57" i="3"/>
  <c r="D101" i="3"/>
  <c r="I92" i="3"/>
  <c r="I39" i="3"/>
  <c r="D101" i="4"/>
  <c r="D102" i="4" s="1"/>
  <c r="I92" i="4"/>
  <c r="I39" i="4"/>
  <c r="D46" i="4"/>
  <c r="F98" i="4"/>
  <c r="F99" i="4" s="1"/>
  <c r="B69" i="3"/>
  <c r="D45" i="3"/>
  <c r="D46" i="3" s="1"/>
  <c r="F98" i="3"/>
  <c r="F99" i="3" s="1"/>
  <c r="D49" i="4"/>
  <c r="E40" i="4"/>
  <c r="E38" i="4"/>
  <c r="E41" i="4"/>
  <c r="E39" i="4"/>
  <c r="D102" i="3"/>
  <c r="G91" i="3"/>
  <c r="G94" i="3"/>
  <c r="D49" i="3"/>
  <c r="C49" i="2"/>
  <c r="F44" i="3"/>
  <c r="F45" i="3" s="1"/>
  <c r="F46" i="3" s="1"/>
  <c r="F44" i="4"/>
  <c r="F45" i="4" s="1"/>
  <c r="F46" i="4" s="1"/>
  <c r="B57" i="4"/>
  <c r="B69" i="4" s="1"/>
  <c r="C50" i="2"/>
  <c r="D97" i="3"/>
  <c r="D98" i="3" s="1"/>
  <c r="D99" i="3" s="1"/>
  <c r="D97" i="4"/>
  <c r="D98" i="4" s="1"/>
  <c r="D99" i="4" s="1"/>
  <c r="D26" i="2"/>
  <c r="D30" i="2"/>
  <c r="D34" i="2"/>
  <c r="D38" i="2"/>
  <c r="D42" i="2"/>
  <c r="B49" i="2"/>
  <c r="G120" i="6" l="1"/>
  <c r="F116" i="6"/>
  <c r="E40" i="3"/>
  <c r="G93" i="4"/>
  <c r="G92" i="4"/>
  <c r="E93" i="4"/>
  <c r="E94" i="4"/>
  <c r="G94" i="4"/>
  <c r="G91" i="4"/>
  <c r="E39" i="3"/>
  <c r="E41" i="3"/>
  <c r="E38" i="3"/>
  <c r="G93" i="3"/>
  <c r="G40" i="3"/>
  <c r="G92" i="3"/>
  <c r="G39" i="3"/>
  <c r="E91" i="3"/>
  <c r="E92" i="3"/>
  <c r="G40" i="4"/>
  <c r="G41" i="4"/>
  <c r="G41" i="3"/>
  <c r="G39" i="4"/>
  <c r="G38" i="4"/>
  <c r="G38" i="3"/>
  <c r="E91" i="4"/>
  <c r="E92" i="4"/>
  <c r="E94" i="3"/>
  <c r="E93" i="3"/>
  <c r="E42" i="4"/>
  <c r="G95" i="3" l="1"/>
  <c r="G42" i="4"/>
  <c r="D50" i="4"/>
  <c r="G71" i="4" s="1"/>
  <c r="H71" i="4" s="1"/>
  <c r="G95" i="4"/>
  <c r="E42" i="3"/>
  <c r="G42" i="3"/>
  <c r="D50" i="3"/>
  <c r="G69" i="3" s="1"/>
  <c r="H69" i="3" s="1"/>
  <c r="D52" i="3"/>
  <c r="D52" i="4"/>
  <c r="E95" i="4"/>
  <c r="D105" i="4"/>
  <c r="D103" i="4"/>
  <c r="E95" i="3"/>
  <c r="D105" i="3"/>
  <c r="D103" i="3"/>
  <c r="G68" i="4" l="1"/>
  <c r="H68" i="4" s="1"/>
  <c r="G61" i="4"/>
  <c r="H61" i="4" s="1"/>
  <c r="G60" i="4"/>
  <c r="H60" i="4" s="1"/>
  <c r="D51" i="4"/>
  <c r="G63" i="4"/>
  <c r="H63" i="4" s="1"/>
  <c r="G64" i="4"/>
  <c r="H64" i="4" s="1"/>
  <c r="G70" i="4"/>
  <c r="H70" i="4" s="1"/>
  <c r="G66" i="4"/>
  <c r="H66" i="4" s="1"/>
  <c r="G65" i="4"/>
  <c r="H65" i="4" s="1"/>
  <c r="G69" i="4"/>
  <c r="H69" i="4" s="1"/>
  <c r="G67" i="4"/>
  <c r="H67" i="4" s="1"/>
  <c r="G62" i="4"/>
  <c r="H62" i="4" s="1"/>
  <c r="D51" i="3"/>
  <c r="G68" i="3"/>
  <c r="H68" i="3" s="1"/>
  <c r="G67" i="3"/>
  <c r="H67" i="3" s="1"/>
  <c r="G61" i="3"/>
  <c r="H61" i="3" s="1"/>
  <c r="G62" i="3"/>
  <c r="H62" i="3" s="1"/>
  <c r="G63" i="3"/>
  <c r="H63" i="3" s="1"/>
  <c r="G64" i="3"/>
  <c r="H64" i="3" s="1"/>
  <c r="G71" i="3"/>
  <c r="H71" i="3" s="1"/>
  <c r="G70" i="3"/>
  <c r="H70" i="3" s="1"/>
  <c r="G66" i="3"/>
  <c r="H66" i="3" s="1"/>
  <c r="G65" i="3"/>
  <c r="H65" i="3" s="1"/>
  <c r="G60" i="3"/>
  <c r="H60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G72" i="4" l="1"/>
  <c r="G73" i="4" s="1"/>
  <c r="G74" i="4"/>
  <c r="G74" i="3"/>
  <c r="G72" i="3"/>
  <c r="G73" i="3" s="1"/>
  <c r="H74" i="3"/>
  <c r="H72" i="3"/>
  <c r="E115" i="3"/>
  <c r="E116" i="3" s="1"/>
  <c r="E117" i="3"/>
  <c r="F108" i="3"/>
  <c r="E115" i="4"/>
  <c r="E116" i="4" s="1"/>
  <c r="E117" i="4"/>
  <c r="F108" i="4"/>
  <c r="H74" i="4"/>
  <c r="H72" i="4"/>
  <c r="F117" i="4" l="1"/>
  <c r="F115" i="4"/>
  <c r="G76" i="3"/>
  <c r="H73" i="3"/>
  <c r="G76" i="4"/>
  <c r="H73" i="4"/>
  <c r="F117" i="3"/>
  <c r="F115" i="3"/>
  <c r="G120" i="3" l="1"/>
  <c r="F116" i="3"/>
  <c r="G120" i="4"/>
  <c r="F116" i="4"/>
</calcChain>
</file>

<file path=xl/sharedStrings.xml><?xml version="1.0" encoding="utf-8"?>
<sst xmlns="http://schemas.openxmlformats.org/spreadsheetml/2006/main" count="648" uniqueCount="132">
  <si>
    <t>HPLC System Suitability Report</t>
  </si>
  <si>
    <t>Analysis Data</t>
  </si>
  <si>
    <t>Assay</t>
  </si>
  <si>
    <t>Sample(s)</t>
  </si>
  <si>
    <t>Reference Substance:</t>
  </si>
  <si>
    <t>D-ARTEPP</t>
  </si>
  <si>
    <t>% age Purity:</t>
  </si>
  <si>
    <t>NDQD201507026</t>
  </si>
  <si>
    <t>Weight (mg):</t>
  </si>
  <si>
    <t>Dihydroartemisinin , Piperaquine Phosphate</t>
  </si>
  <si>
    <t>Standard Conc (mg/mL):</t>
  </si>
  <si>
    <t>each tablets contains dihydroartemesinin 40mg,piperaquine phosphate 320mg.</t>
  </si>
  <si>
    <t>2015-07-17 06:43:20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</si>
  <si>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</si>
  <si>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</si>
  <si>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</si>
  <si>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</si>
  <si>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</si>
  <si>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</si>
  <si>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</si>
  <si>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</si>
  <si>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</si>
  <si>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</si>
  <si>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</si>
  <si>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</si>
  <si>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</si>
  <si>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</si>
  <si>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</si>
  <si>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</si>
  <si>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</si>
  <si>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</si>
  <si>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</si>
  <si>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</si>
  <si>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</si>
  <si>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</si>
  <si>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</si>
  <si>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</si>
  <si>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</si>
  <si>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</si>
  <si>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</si>
  <si>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</si>
  <si>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</si>
  <si>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</si>
  <si>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</si>
  <si>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</si>
  <si>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</si>
  <si>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</si>
  <si>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</si>
  <si>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</si>
  <si>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</si>
  <si>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</si>
  <si>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</si>
  <si>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</si>
  <si>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</si>
  <si>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</si>
  <si>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</si>
  <si>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</si>
  <si>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</si>
  <si>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</si>
  <si>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</si>
  <si>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</si>
  <si>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</si>
  <si>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</si>
  <si>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</si>
  <si>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</si>
  <si>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</si>
  <si>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</si>
  <si>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</si>
  <si>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</si>
  <si>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</si>
  <si>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</si>
  <si>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</si>
  <si>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</si>
  <si>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</si>
  <si>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</si>
  <si>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</si>
  <si>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</si>
  <si>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</si>
  <si>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</si>
  <si>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</si>
  <si>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</si>
  <si>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</si>
  <si>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</si>
  <si>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</si>
  <si>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</si>
  <si>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</si>
  <si>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</si>
  <si>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</si>
  <si>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</si>
  <si>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</si>
  <si>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</si>
  <si>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</si>
  <si>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</si>
  <si>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</si>
  <si>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</si>
  <si>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</si>
  <si>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</si>
  <si>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</si>
  <si>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</si>
  <si>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</si>
  <si>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</si>
  <si>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</si>
  <si>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</si>
  <si>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</si>
  <si>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</si>
  <si>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</si>
  <si>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</si>
  <si>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</si>
  <si>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</si>
  <si>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</si>
  <si>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</si>
  <si>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</si>
  <si>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</si>
  <si>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</si>
  <si>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</si>
  <si>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</si>
  <si>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</si>
  <si>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</si>
  <si>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</si>
  <si>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</si>
  <si>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</si>
  <si>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</si>
  <si>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</si>
  <si>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</si>
  <si>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</si>
  <si>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Dihydroartemisinin</t>
  </si>
  <si>
    <t>D5-3</t>
  </si>
  <si>
    <t>Piperaquine Phopshate</t>
  </si>
  <si>
    <t>P9-3</t>
  </si>
  <si>
    <t>Dr. Sarah Mwangi</t>
  </si>
  <si>
    <t>24th November 2015</t>
  </si>
  <si>
    <t>2015-07-17 06:35:49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</si>
</sst>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57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166" fontId="13" fillId="3" borderId="29" xfId="0" applyNumberFormat="1" applyFont="1" applyFill="1" applyBorder="1" applyAlignment="1" applyProtection="1">
      <alignment horizontal="center"/>
      <protection locked="0"/>
    </xf>
    <xf numFmtId="166" fontId="13" fillId="3" borderId="23" xfId="0" applyNumberFormat="1" applyFont="1" applyFill="1" applyBorder="1" applyAlignment="1" applyProtection="1">
      <alignment horizontal="center"/>
      <protection locked="0"/>
    </xf>
    <xf numFmtId="173" fontId="7" fillId="3" borderId="3" xfId="0" applyNumberFormat="1" applyFont="1" applyFill="1" applyBorder="1" applyAlignment="1" applyProtection="1">
      <alignment horizontal="center"/>
      <protection locked="0"/>
    </xf>
    <xf numFmtId="173" fontId="7" fillId="3" borderId="5" xfId="0" applyNumberFormat="1" applyFont="1" applyFill="1" applyBorder="1" applyAlignment="1" applyProtection="1">
      <alignment horizontal="center"/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173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173" fontId="7" fillId="3" borderId="5" xfId="1" applyNumberFormat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10" xfId="1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166" fontId="13" fillId="3" borderId="31" xfId="0" applyNumberFormat="1" applyFont="1" applyFill="1" applyBorder="1" applyAlignment="1" applyProtection="1">
      <alignment horizontal="center"/>
      <protection locked="0"/>
    </xf>
    <xf numFmtId="166" fontId="13" fillId="3" borderId="35" xfId="0" applyNumberFormat="1" applyFont="1" applyFill="1" applyBorder="1" applyAlignment="1" applyProtection="1">
      <alignment horizontal="center"/>
      <protection locked="0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2">
    <cellStyle name="Normal" xfId="0" builtinId="0"/>
    <cellStyle name="Normal 2" xfId="1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9" zoomScaleNormal="100" workbookViewId="0">
      <selection activeCell="C23" sqref="C23"/>
    </sheetView>
  </sheetViews>
  <sheetFormatPr defaultRowHeight="13.5" x14ac:dyDescent="0.25"/>
  <cols>
    <col min="1" max="1" width="27.5703125" style="465" customWidth="1"/>
    <col min="2" max="2" width="20.42578125" style="465" customWidth="1"/>
    <col min="3" max="3" width="31.85546875" style="465" customWidth="1"/>
    <col min="4" max="4" width="25.85546875" style="465" customWidth="1"/>
    <col min="5" max="5" width="25.7109375" style="465" customWidth="1"/>
    <col min="6" max="6" width="23.140625" style="465" customWidth="1"/>
    <col min="7" max="7" width="28.42578125" style="465" customWidth="1"/>
    <col min="8" max="8" width="21.5703125" style="465" customWidth="1"/>
    <col min="9" max="9" width="9.140625" style="465" customWidth="1"/>
    <col min="10" max="16384" width="9.140625" style="503"/>
  </cols>
  <sheetData>
    <row r="14" spans="1:6" ht="15" customHeight="1" x14ac:dyDescent="0.3">
      <c r="A14" s="464"/>
      <c r="C14" s="466"/>
      <c r="F14" s="466"/>
    </row>
    <row r="15" spans="1:6" ht="18.75" customHeight="1" x14ac:dyDescent="0.3">
      <c r="A15" s="519" t="s">
        <v>0</v>
      </c>
      <c r="B15" s="519"/>
      <c r="C15" s="519"/>
      <c r="D15" s="519"/>
      <c r="E15" s="519"/>
    </row>
    <row r="16" spans="1:6" ht="16.5" customHeight="1" x14ac:dyDescent="0.3">
      <c r="A16" s="467" t="s">
        <v>1</v>
      </c>
      <c r="B16" s="468" t="s">
        <v>2</v>
      </c>
    </row>
    <row r="17" spans="1:5" ht="16.5" customHeight="1" x14ac:dyDescent="0.3">
      <c r="A17" s="469" t="s">
        <v>3</v>
      </c>
      <c r="B17" s="469" t="s">
        <v>5</v>
      </c>
      <c r="D17" s="470"/>
      <c r="E17" s="471"/>
    </row>
    <row r="18" spans="1:5" ht="16.5" customHeight="1" x14ac:dyDescent="0.3">
      <c r="A18" s="472" t="s">
        <v>4</v>
      </c>
      <c r="B18" s="469" t="str">
        <f>Dihydroartemisinin!B26</f>
        <v>Dihydroartemisinin</v>
      </c>
      <c r="C18" s="471"/>
      <c r="D18" s="471"/>
      <c r="E18" s="471"/>
    </row>
    <row r="19" spans="1:5" ht="16.5" customHeight="1" x14ac:dyDescent="0.3">
      <c r="A19" s="472" t="s">
        <v>6</v>
      </c>
      <c r="B19" s="473">
        <f>Dihydroartemisinin!B30</f>
        <v>98.7</v>
      </c>
      <c r="C19" s="471"/>
      <c r="D19" s="471"/>
      <c r="E19" s="471"/>
    </row>
    <row r="20" spans="1:5" ht="16.5" customHeight="1" x14ac:dyDescent="0.3">
      <c r="A20" s="469" t="s">
        <v>8</v>
      </c>
      <c r="B20" s="12">
        <f>Dihydroartemisinin!D43</f>
        <v>16.04</v>
      </c>
      <c r="C20" s="471"/>
      <c r="D20" s="471"/>
      <c r="E20" s="471"/>
    </row>
    <row r="21" spans="1:5" ht="16.5" customHeight="1" x14ac:dyDescent="0.3">
      <c r="A21" s="469" t="s">
        <v>10</v>
      </c>
      <c r="B21" s="13">
        <f>B20/Dihydroartemisinin!B45</f>
        <v>0.80199999999999994</v>
      </c>
      <c r="C21" s="471"/>
      <c r="D21" s="471"/>
      <c r="E21" s="471"/>
    </row>
    <row r="22" spans="1:5" ht="15.75" customHeight="1" x14ac:dyDescent="0.25">
      <c r="A22" s="471"/>
      <c r="B22" s="471" t="s">
        <v>131</v>
      </c>
      <c r="C22" s="471"/>
      <c r="D22" s="471"/>
      <c r="E22" s="471"/>
    </row>
    <row r="23" spans="1:5" ht="16.5" customHeight="1" x14ac:dyDescent="0.3">
      <c r="A23" s="475" t="s">
        <v>13</v>
      </c>
      <c r="B23" s="476" t="s">
        <v>14</v>
      </c>
      <c r="C23" s="475" t="s">
        <v>15</v>
      </c>
      <c r="D23" s="475" t="s">
        <v>16</v>
      </c>
      <c r="E23" s="475" t="s">
        <v>17</v>
      </c>
    </row>
    <row r="24" spans="1:5" ht="16.5" customHeight="1" x14ac:dyDescent="0.3">
      <c r="A24" s="477">
        <v>1</v>
      </c>
      <c r="B24" s="478">
        <v>12643503</v>
      </c>
      <c r="C24" s="479">
        <v>3842.9</v>
      </c>
      <c r="D24" s="480">
        <v>0.8</v>
      </c>
      <c r="E24" s="481">
        <v>4.3</v>
      </c>
    </row>
    <row r="25" spans="1:5" ht="16.5" customHeight="1" x14ac:dyDescent="0.3">
      <c r="A25" s="477">
        <v>2</v>
      </c>
      <c r="B25" s="478">
        <v>12405325</v>
      </c>
      <c r="C25" s="479">
        <v>3831.6</v>
      </c>
      <c r="D25" s="480">
        <v>0.8</v>
      </c>
      <c r="E25" s="480">
        <v>4.3</v>
      </c>
    </row>
    <row r="26" spans="1:5" ht="16.5" customHeight="1" x14ac:dyDescent="0.3">
      <c r="A26" s="477">
        <v>3</v>
      </c>
      <c r="B26" s="478">
        <v>12314964</v>
      </c>
      <c r="C26" s="479">
        <v>3905.5</v>
      </c>
      <c r="D26" s="480">
        <v>0.8</v>
      </c>
      <c r="E26" s="480">
        <v>4.3</v>
      </c>
    </row>
    <row r="27" spans="1:5" ht="16.5" customHeight="1" x14ac:dyDescent="0.3">
      <c r="A27" s="477">
        <v>4</v>
      </c>
      <c r="B27" s="478">
        <v>12236419</v>
      </c>
      <c r="C27" s="479">
        <v>3943.9</v>
      </c>
      <c r="D27" s="480">
        <v>0.8</v>
      </c>
      <c r="E27" s="480">
        <v>4.3</v>
      </c>
    </row>
    <row r="28" spans="1:5" ht="16.5" customHeight="1" x14ac:dyDescent="0.3">
      <c r="A28" s="477">
        <v>5</v>
      </c>
      <c r="B28" s="478">
        <v>12307193</v>
      </c>
      <c r="C28" s="479">
        <v>3927.4</v>
      </c>
      <c r="D28" s="480">
        <v>0.8</v>
      </c>
      <c r="E28" s="480">
        <v>4.3</v>
      </c>
    </row>
    <row r="29" spans="1:5" ht="16.5" customHeight="1" x14ac:dyDescent="0.3">
      <c r="A29" s="477">
        <v>6</v>
      </c>
      <c r="B29" s="478">
        <v>12346927</v>
      </c>
      <c r="C29" s="482">
        <v>3913.2</v>
      </c>
      <c r="D29" s="483">
        <v>0.8</v>
      </c>
      <c r="E29" s="483">
        <v>4.3</v>
      </c>
    </row>
    <row r="30" spans="1:5" ht="16.5" customHeight="1" x14ac:dyDescent="0.3">
      <c r="A30" s="484" t="s">
        <v>18</v>
      </c>
      <c r="B30" s="485">
        <f>AVERAGE(B24:B29)</f>
        <v>12375721.833333334</v>
      </c>
      <c r="C30" s="486">
        <f>AVERAGE(C24:C29)</f>
        <v>3894.0833333333335</v>
      </c>
      <c r="D30" s="487">
        <f>AVERAGE(D24:D29)</f>
        <v>0.79999999999999993</v>
      </c>
      <c r="E30" s="487">
        <f>AVERAGE(E24:E29)</f>
        <v>4.3</v>
      </c>
    </row>
    <row r="31" spans="1:5" ht="16.5" customHeight="1" x14ac:dyDescent="0.3">
      <c r="A31" s="488" t="s">
        <v>19</v>
      </c>
      <c r="B31" s="489">
        <f>(STDEV(B24:B29)/B30)</f>
        <v>1.1495978778823036E-2</v>
      </c>
      <c r="C31" s="490"/>
      <c r="D31" s="490"/>
      <c r="E31" s="491"/>
    </row>
    <row r="32" spans="1:5" s="465" customFormat="1" ht="16.5" customHeight="1" x14ac:dyDescent="0.3">
      <c r="A32" s="492" t="s">
        <v>20</v>
      </c>
      <c r="B32" s="493">
        <f>COUNT(B24:B29)</f>
        <v>6</v>
      </c>
      <c r="C32" s="494"/>
      <c r="D32" s="495"/>
      <c r="E32" s="496"/>
    </row>
    <row r="33" spans="1:5" s="465" customFormat="1" ht="15.75" customHeight="1" x14ac:dyDescent="0.25">
      <c r="A33" s="471"/>
      <c r="B33" s="471"/>
      <c r="C33" s="471"/>
      <c r="D33" s="471"/>
      <c r="E33" s="471"/>
    </row>
    <row r="34" spans="1:5" s="465" customFormat="1" ht="16.5" customHeight="1" x14ac:dyDescent="0.3">
      <c r="A34" s="472" t="s">
        <v>21</v>
      </c>
      <c r="B34" s="497" t="s">
        <v>22</v>
      </c>
      <c r="C34" s="498"/>
      <c r="D34" s="498"/>
      <c r="E34" s="498"/>
    </row>
    <row r="35" spans="1:5" ht="16.5" customHeight="1" x14ac:dyDescent="0.3">
      <c r="A35" s="472"/>
      <c r="B35" s="497" t="s">
        <v>23</v>
      </c>
      <c r="C35" s="498"/>
      <c r="D35" s="498"/>
      <c r="E35" s="498"/>
    </row>
    <row r="36" spans="1:5" ht="16.5" customHeight="1" x14ac:dyDescent="0.3">
      <c r="A36" s="472"/>
      <c r="B36" s="497" t="s">
        <v>24</v>
      </c>
      <c r="C36" s="498"/>
      <c r="D36" s="498"/>
      <c r="E36" s="498"/>
    </row>
    <row r="37" spans="1:5" ht="15.75" customHeight="1" x14ac:dyDescent="0.25">
      <c r="A37" s="471"/>
      <c r="B37" s="471"/>
      <c r="C37" s="471"/>
      <c r="D37" s="471"/>
      <c r="E37" s="471"/>
    </row>
    <row r="38" spans="1:5" ht="16.5" customHeight="1" x14ac:dyDescent="0.3">
      <c r="A38" s="467" t="s">
        <v>1</v>
      </c>
      <c r="B38" s="468" t="s">
        <v>25</v>
      </c>
    </row>
    <row r="39" spans="1:5" ht="16.5" customHeight="1" x14ac:dyDescent="0.3">
      <c r="A39" s="472" t="s">
        <v>4</v>
      </c>
      <c r="B39" s="469" t="str">
        <f>B18</f>
        <v>Dihydroartemisinin</v>
      </c>
      <c r="C39" s="471"/>
      <c r="D39" s="471"/>
      <c r="E39" s="471"/>
    </row>
    <row r="40" spans="1:5" ht="16.5" customHeight="1" x14ac:dyDescent="0.3">
      <c r="A40" s="472" t="s">
        <v>6</v>
      </c>
      <c r="B40" s="473">
        <f>B19</f>
        <v>98.7</v>
      </c>
      <c r="C40" s="471"/>
      <c r="D40" s="471"/>
      <c r="E40" s="471"/>
    </row>
    <row r="41" spans="1:5" ht="16.5" customHeight="1" x14ac:dyDescent="0.3">
      <c r="A41" s="469" t="s">
        <v>8</v>
      </c>
      <c r="B41" s="473">
        <f>Dihydroartemisinin!D96</f>
        <v>16.04</v>
      </c>
      <c r="C41" s="471"/>
      <c r="D41" s="471"/>
      <c r="E41" s="471"/>
    </row>
    <row r="42" spans="1:5" ht="16.5" customHeight="1" x14ac:dyDescent="0.3">
      <c r="A42" s="469" t="s">
        <v>10</v>
      </c>
      <c r="B42" s="474">
        <f>B41/Dihydroartemisinin!B98</f>
        <v>3.2079999999999997E-2</v>
      </c>
      <c r="C42" s="471"/>
      <c r="D42" s="471"/>
      <c r="E42" s="471"/>
    </row>
    <row r="43" spans="1:5" ht="15.75" customHeight="1" x14ac:dyDescent="0.25">
      <c r="A43" s="471"/>
      <c r="B43" s="471"/>
      <c r="C43" s="471"/>
      <c r="D43" s="471"/>
      <c r="E43" s="471"/>
    </row>
    <row r="44" spans="1:5" ht="16.5" customHeight="1" x14ac:dyDescent="0.3">
      <c r="A44" s="475" t="s">
        <v>13</v>
      </c>
      <c r="B44" s="476" t="s">
        <v>14</v>
      </c>
      <c r="C44" s="475" t="s">
        <v>15</v>
      </c>
      <c r="D44" s="475" t="s">
        <v>16</v>
      </c>
      <c r="E44" s="475" t="s">
        <v>17</v>
      </c>
    </row>
    <row r="45" spans="1:5" ht="16.5" customHeight="1" x14ac:dyDescent="0.3">
      <c r="A45" s="477">
        <v>1</v>
      </c>
      <c r="B45" s="478">
        <v>3628574</v>
      </c>
      <c r="C45" s="478">
        <v>6723.1</v>
      </c>
      <c r="D45" s="480">
        <v>1.1000000000000001</v>
      </c>
      <c r="E45" s="481">
        <v>4.3</v>
      </c>
    </row>
    <row r="46" spans="1:5" ht="16.5" customHeight="1" x14ac:dyDescent="0.3">
      <c r="A46" s="477">
        <v>2</v>
      </c>
      <c r="B46" s="478">
        <v>3604223</v>
      </c>
      <c r="C46" s="478">
        <v>6707.2</v>
      </c>
      <c r="D46" s="480">
        <v>1.1000000000000001</v>
      </c>
      <c r="E46" s="480">
        <v>4.3</v>
      </c>
    </row>
    <row r="47" spans="1:5" ht="16.5" customHeight="1" x14ac:dyDescent="0.3">
      <c r="A47" s="477">
        <v>3</v>
      </c>
      <c r="B47" s="478">
        <v>3618569</v>
      </c>
      <c r="C47" s="478">
        <v>6679.9</v>
      </c>
      <c r="D47" s="480">
        <v>1.1000000000000001</v>
      </c>
      <c r="E47" s="480">
        <v>4.3</v>
      </c>
    </row>
    <row r="48" spans="1:5" ht="16.5" customHeight="1" x14ac:dyDescent="0.3">
      <c r="A48" s="477">
        <v>4</v>
      </c>
      <c r="B48" s="478">
        <v>3603473</v>
      </c>
      <c r="C48" s="478">
        <v>6697.9</v>
      </c>
      <c r="D48" s="480">
        <v>1.1000000000000001</v>
      </c>
      <c r="E48" s="480">
        <v>4.3</v>
      </c>
    </row>
    <row r="49" spans="1:7" ht="16.5" customHeight="1" x14ac:dyDescent="0.3">
      <c r="A49" s="477">
        <v>5</v>
      </c>
      <c r="B49" s="478">
        <v>3622097</v>
      </c>
      <c r="C49" s="478">
        <v>6663.5</v>
      </c>
      <c r="D49" s="480">
        <v>1.1000000000000001</v>
      </c>
      <c r="E49" s="480">
        <v>4.3</v>
      </c>
    </row>
    <row r="50" spans="1:7" ht="16.5" customHeight="1" x14ac:dyDescent="0.3">
      <c r="A50" s="477">
        <v>6</v>
      </c>
      <c r="B50" s="499">
        <v>3618312</v>
      </c>
      <c r="C50" s="499">
        <v>6629.6</v>
      </c>
      <c r="D50" s="483">
        <v>1.1000000000000001</v>
      </c>
      <c r="E50" s="483">
        <v>4.3</v>
      </c>
    </row>
    <row r="51" spans="1:7" ht="16.5" customHeight="1" x14ac:dyDescent="0.3">
      <c r="A51" s="484" t="s">
        <v>18</v>
      </c>
      <c r="B51" s="485">
        <f>AVERAGE(B45:B50)</f>
        <v>3615874.6666666665</v>
      </c>
      <c r="C51" s="486">
        <f>AVERAGE(C45:C50)</f>
        <v>6683.5333333333328</v>
      </c>
      <c r="D51" s="487">
        <f>AVERAGE(D45:D50)</f>
        <v>1.0999999999999999</v>
      </c>
      <c r="E51" s="487">
        <f>AVERAGE(E45:E50)</f>
        <v>4.3</v>
      </c>
    </row>
    <row r="52" spans="1:7" ht="16.5" customHeight="1" x14ac:dyDescent="0.3">
      <c r="A52" s="488" t="s">
        <v>19</v>
      </c>
      <c r="B52" s="489">
        <f>(STDEV(B45:B50)/B51)</f>
        <v>2.7731863245385297E-3</v>
      </c>
      <c r="C52" s="490"/>
      <c r="D52" s="490"/>
      <c r="E52" s="491"/>
    </row>
    <row r="53" spans="1:7" s="465" customFormat="1" ht="16.5" customHeight="1" x14ac:dyDescent="0.3">
      <c r="A53" s="492" t="s">
        <v>20</v>
      </c>
      <c r="B53" s="493">
        <f>COUNT(B45:B50)</f>
        <v>6</v>
      </c>
      <c r="C53" s="494"/>
      <c r="D53" s="495"/>
      <c r="E53" s="496"/>
    </row>
    <row r="54" spans="1:7" s="465" customFormat="1" ht="15.75" customHeight="1" x14ac:dyDescent="0.25">
      <c r="A54" s="471"/>
      <c r="B54" s="471"/>
      <c r="C54" s="471"/>
      <c r="D54" s="471"/>
      <c r="E54" s="471"/>
    </row>
    <row r="55" spans="1:7" s="465" customFormat="1" ht="16.5" customHeight="1" x14ac:dyDescent="0.3">
      <c r="A55" s="472" t="s">
        <v>21</v>
      </c>
      <c r="B55" s="497" t="s">
        <v>22</v>
      </c>
      <c r="C55" s="498"/>
      <c r="D55" s="498"/>
      <c r="E55" s="498"/>
    </row>
    <row r="56" spans="1:7" ht="16.5" customHeight="1" x14ac:dyDescent="0.3">
      <c r="A56" s="472"/>
      <c r="B56" s="497" t="s">
        <v>23</v>
      </c>
      <c r="C56" s="498"/>
      <c r="D56" s="498"/>
      <c r="E56" s="498"/>
    </row>
    <row r="57" spans="1:7" ht="16.5" customHeight="1" x14ac:dyDescent="0.3">
      <c r="A57" s="472"/>
      <c r="B57" s="497" t="s">
        <v>24</v>
      </c>
      <c r="C57" s="498"/>
      <c r="D57" s="498"/>
      <c r="E57" s="498"/>
    </row>
    <row r="58" spans="1:7" ht="14.25" customHeight="1" thickBot="1" x14ac:dyDescent="0.3">
      <c r="A58" s="500"/>
      <c r="B58" s="501"/>
      <c r="D58" s="502"/>
      <c r="F58" s="503"/>
      <c r="G58" s="503"/>
    </row>
    <row r="59" spans="1:7" ht="15" customHeight="1" x14ac:dyDescent="0.3">
      <c r="B59" s="520" t="s">
        <v>26</v>
      </c>
      <c r="C59" s="520"/>
      <c r="E59" s="504" t="s">
        <v>27</v>
      </c>
      <c r="F59" s="505"/>
      <c r="G59" s="504" t="s">
        <v>28</v>
      </c>
    </row>
    <row r="60" spans="1:7" ht="15" customHeight="1" x14ac:dyDescent="0.3">
      <c r="A60" s="506" t="s">
        <v>29</v>
      </c>
      <c r="B60" s="507"/>
      <c r="C60" s="507" t="s">
        <v>129</v>
      </c>
      <c r="E60" s="507" t="s">
        <v>130</v>
      </c>
      <c r="G60" s="507"/>
    </row>
    <row r="61" spans="1:7" ht="15" customHeight="1" x14ac:dyDescent="0.3">
      <c r="A61" s="506" t="s">
        <v>30</v>
      </c>
      <c r="B61" s="508"/>
      <c r="C61" s="508"/>
      <c r="E61" s="508"/>
      <c r="G61" s="50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0" zoomScaleNormal="100" workbookViewId="0">
      <selection activeCell="B51" sqref="B51"/>
    </sheetView>
  </sheetViews>
  <sheetFormatPr defaultRowHeight="13.5" x14ac:dyDescent="0.25"/>
  <cols>
    <col min="1" max="1" width="27.5703125" style="465" customWidth="1"/>
    <col min="2" max="2" width="20.42578125" style="465" customWidth="1"/>
    <col min="3" max="3" width="31.85546875" style="465" customWidth="1"/>
    <col min="4" max="4" width="25.85546875" style="465" customWidth="1"/>
    <col min="5" max="5" width="25.7109375" style="465" customWidth="1"/>
    <col min="6" max="6" width="23.140625" style="465" customWidth="1"/>
    <col min="7" max="7" width="28.42578125" style="465" customWidth="1"/>
    <col min="8" max="8" width="21.5703125" style="465" customWidth="1"/>
    <col min="9" max="9" width="9.140625" style="465" customWidth="1"/>
    <col min="10" max="16384" width="9.140625" style="503"/>
  </cols>
  <sheetData>
    <row r="14" spans="1:6" ht="15" customHeight="1" x14ac:dyDescent="0.3">
      <c r="A14" s="464"/>
      <c r="C14" s="466"/>
      <c r="F14" s="466"/>
    </row>
    <row r="15" spans="1:6" ht="18.75" customHeight="1" x14ac:dyDescent="0.3">
      <c r="A15" s="519" t="s">
        <v>0</v>
      </c>
      <c r="B15" s="519"/>
      <c r="C15" s="519"/>
      <c r="D15" s="519"/>
      <c r="E15" s="519"/>
    </row>
    <row r="16" spans="1:6" ht="16.5" customHeight="1" x14ac:dyDescent="0.3">
      <c r="A16" s="467" t="s">
        <v>1</v>
      </c>
      <c r="B16" s="468" t="s">
        <v>2</v>
      </c>
    </row>
    <row r="17" spans="1:5" ht="16.5" customHeight="1" x14ac:dyDescent="0.3">
      <c r="A17" s="469" t="s">
        <v>3</v>
      </c>
      <c r="B17" s="469" t="s">
        <v>5</v>
      </c>
      <c r="D17" s="470"/>
      <c r="E17" s="471"/>
    </row>
    <row r="18" spans="1:5" ht="16.5" customHeight="1" x14ac:dyDescent="0.3">
      <c r="A18" s="472" t="s">
        <v>4</v>
      </c>
      <c r="B18" s="469" t="str">
        <f>Dihydroartemisinin!B26</f>
        <v>Dihydroartemisinin</v>
      </c>
      <c r="C18" s="471"/>
      <c r="D18" s="471"/>
      <c r="E18" s="471"/>
    </row>
    <row r="19" spans="1:5" ht="16.5" customHeight="1" x14ac:dyDescent="0.3">
      <c r="A19" s="472" t="s">
        <v>6</v>
      </c>
      <c r="B19" s="473">
        <f>Dihydroartemisinin!B30</f>
        <v>98.7</v>
      </c>
      <c r="C19" s="471"/>
      <c r="D19" s="471"/>
      <c r="E19" s="471"/>
    </row>
    <row r="20" spans="1:5" ht="16.5" customHeight="1" x14ac:dyDescent="0.3">
      <c r="A20" s="469" t="s">
        <v>8</v>
      </c>
      <c r="B20" s="12">
        <f>Dihydroartemisinin!D43</f>
        <v>16.04</v>
      </c>
      <c r="C20" s="471"/>
      <c r="D20" s="471"/>
      <c r="E20" s="471"/>
    </row>
    <row r="21" spans="1:5" ht="16.5" customHeight="1" x14ac:dyDescent="0.3">
      <c r="A21" s="469" t="s">
        <v>10</v>
      </c>
      <c r="B21" s="13">
        <f>B20/Dihydroartemisinin!B45</f>
        <v>0.80199999999999994</v>
      </c>
      <c r="C21" s="471"/>
      <c r="D21" s="471"/>
      <c r="E21" s="471"/>
    </row>
    <row r="22" spans="1:5" ht="15.75" customHeight="1" x14ac:dyDescent="0.25">
      <c r="A22" s="471"/>
      <c r="B22" s="471" t="s">
        <v>131</v>
      </c>
      <c r="C22" s="471"/>
      <c r="D22" s="471"/>
      <c r="E22" s="471"/>
    </row>
    <row r="23" spans="1:5" ht="16.5" customHeight="1" x14ac:dyDescent="0.3">
      <c r="A23" s="475" t="s">
        <v>13</v>
      </c>
      <c r="B23" s="476" t="s">
        <v>14</v>
      </c>
      <c r="C23" s="475" t="s">
        <v>15</v>
      </c>
      <c r="D23" s="475" t="s">
        <v>16</v>
      </c>
      <c r="E23" s="475" t="s">
        <v>17</v>
      </c>
    </row>
    <row r="24" spans="1:5" ht="16.5" customHeight="1" x14ac:dyDescent="0.3">
      <c r="A24" s="477">
        <v>1</v>
      </c>
      <c r="B24" s="478">
        <v>12643503</v>
      </c>
      <c r="C24" s="479">
        <v>3842.9</v>
      </c>
      <c r="D24" s="480">
        <v>0.8</v>
      </c>
      <c r="E24" s="481">
        <v>4.3</v>
      </c>
    </row>
    <row r="25" spans="1:5" ht="16.5" customHeight="1" x14ac:dyDescent="0.3">
      <c r="A25" s="477">
        <v>2</v>
      </c>
      <c r="B25" s="478">
        <v>12405325</v>
      </c>
      <c r="C25" s="479">
        <v>3831.6</v>
      </c>
      <c r="D25" s="480">
        <v>0.8</v>
      </c>
      <c r="E25" s="480">
        <v>4.3</v>
      </c>
    </row>
    <row r="26" spans="1:5" ht="16.5" customHeight="1" x14ac:dyDescent="0.3">
      <c r="A26" s="477">
        <v>3</v>
      </c>
      <c r="B26" s="478">
        <v>12314964</v>
      </c>
      <c r="C26" s="479">
        <v>3905.5</v>
      </c>
      <c r="D26" s="480">
        <v>0.8</v>
      </c>
      <c r="E26" s="480">
        <v>4.3</v>
      </c>
    </row>
    <row r="27" spans="1:5" ht="16.5" customHeight="1" x14ac:dyDescent="0.3">
      <c r="A27" s="477">
        <v>4</v>
      </c>
      <c r="B27" s="478">
        <v>12236419</v>
      </c>
      <c r="C27" s="479">
        <v>3943.9</v>
      </c>
      <c r="D27" s="480">
        <v>0.8</v>
      </c>
      <c r="E27" s="480">
        <v>4.3</v>
      </c>
    </row>
    <row r="28" spans="1:5" ht="16.5" customHeight="1" x14ac:dyDescent="0.3">
      <c r="A28" s="477">
        <v>5</v>
      </c>
      <c r="B28" s="478">
        <v>12307193</v>
      </c>
      <c r="C28" s="479">
        <v>3927.4</v>
      </c>
      <c r="D28" s="480">
        <v>0.8</v>
      </c>
      <c r="E28" s="480">
        <v>4.3</v>
      </c>
    </row>
    <row r="29" spans="1:5" ht="16.5" customHeight="1" x14ac:dyDescent="0.3">
      <c r="A29" s="477">
        <v>6</v>
      </c>
      <c r="B29" s="478">
        <v>12346927</v>
      </c>
      <c r="C29" s="482">
        <v>3913.2</v>
      </c>
      <c r="D29" s="483">
        <v>0.8</v>
      </c>
      <c r="E29" s="483">
        <v>4.3</v>
      </c>
    </row>
    <row r="30" spans="1:5" ht="16.5" customHeight="1" x14ac:dyDescent="0.3">
      <c r="A30" s="484" t="s">
        <v>18</v>
      </c>
      <c r="B30" s="485">
        <f>AVERAGE(B24:B29)</f>
        <v>12375721.833333334</v>
      </c>
      <c r="C30" s="486">
        <f>AVERAGE(C24:C29)</f>
        <v>3894.0833333333335</v>
      </c>
      <c r="D30" s="487">
        <f>AVERAGE(D24:D29)</f>
        <v>0.79999999999999993</v>
      </c>
      <c r="E30" s="487">
        <f>AVERAGE(E24:E29)</f>
        <v>4.3</v>
      </c>
    </row>
    <row r="31" spans="1:5" ht="16.5" customHeight="1" x14ac:dyDescent="0.3">
      <c r="A31" s="488" t="s">
        <v>19</v>
      </c>
      <c r="B31" s="489">
        <f>(STDEV(B24:B29)/B30)</f>
        <v>1.1495978778823036E-2</v>
      </c>
      <c r="C31" s="490"/>
      <c r="D31" s="490"/>
      <c r="E31" s="491"/>
    </row>
    <row r="32" spans="1:5" s="465" customFormat="1" ht="16.5" customHeight="1" x14ac:dyDescent="0.3">
      <c r="A32" s="492" t="s">
        <v>20</v>
      </c>
      <c r="B32" s="493">
        <f>COUNT(B24:B29)</f>
        <v>6</v>
      </c>
      <c r="C32" s="494"/>
      <c r="D32" s="495"/>
      <c r="E32" s="496"/>
    </row>
    <row r="33" spans="1:5" s="465" customFormat="1" ht="15.75" customHeight="1" x14ac:dyDescent="0.25">
      <c r="A33" s="471"/>
      <c r="B33" s="471"/>
      <c r="C33" s="471"/>
      <c r="D33" s="471"/>
      <c r="E33" s="471"/>
    </row>
    <row r="34" spans="1:5" s="465" customFormat="1" ht="16.5" customHeight="1" x14ac:dyDescent="0.3">
      <c r="A34" s="472" t="s">
        <v>21</v>
      </c>
      <c r="B34" s="497" t="s">
        <v>22</v>
      </c>
      <c r="C34" s="498"/>
      <c r="D34" s="498"/>
      <c r="E34" s="498"/>
    </row>
    <row r="35" spans="1:5" ht="16.5" customHeight="1" x14ac:dyDescent="0.3">
      <c r="A35" s="472"/>
      <c r="B35" s="497" t="s">
        <v>23</v>
      </c>
      <c r="C35" s="498"/>
      <c r="D35" s="498"/>
      <c r="E35" s="498"/>
    </row>
    <row r="36" spans="1:5" ht="16.5" customHeight="1" x14ac:dyDescent="0.3">
      <c r="A36" s="472"/>
      <c r="B36" s="497" t="s">
        <v>24</v>
      </c>
      <c r="C36" s="498"/>
      <c r="D36" s="498"/>
      <c r="E36" s="498"/>
    </row>
    <row r="37" spans="1:5" ht="15.75" customHeight="1" x14ac:dyDescent="0.25">
      <c r="A37" s="471"/>
      <c r="B37" s="471"/>
      <c r="C37" s="471"/>
      <c r="D37" s="471"/>
      <c r="E37" s="471"/>
    </row>
    <row r="38" spans="1:5" ht="16.5" customHeight="1" x14ac:dyDescent="0.3">
      <c r="A38" s="467" t="s">
        <v>1</v>
      </c>
      <c r="B38" s="468" t="s">
        <v>25</v>
      </c>
    </row>
    <row r="39" spans="1:5" ht="16.5" customHeight="1" x14ac:dyDescent="0.3">
      <c r="A39" s="472" t="s">
        <v>4</v>
      </c>
      <c r="B39" s="469" t="str">
        <f>'Dihydroartemisinin (2)'!B79:C79</f>
        <v>Dihydroartemisinin</v>
      </c>
      <c r="C39" s="471"/>
      <c r="D39" s="471"/>
      <c r="E39" s="471"/>
    </row>
    <row r="40" spans="1:5" ht="16.5" customHeight="1" x14ac:dyDescent="0.3">
      <c r="A40" s="472" t="s">
        <v>6</v>
      </c>
      <c r="B40" s="473">
        <f>'Dihydroartemisinin (2)'!B83</f>
        <v>99.82</v>
      </c>
      <c r="C40" s="471"/>
      <c r="D40" s="471"/>
      <c r="E40" s="471"/>
    </row>
    <row r="41" spans="1:5" ht="16.5" customHeight="1" x14ac:dyDescent="0.3">
      <c r="A41" s="469" t="s">
        <v>8</v>
      </c>
      <c r="B41" s="473">
        <f>'Dihydroartemisinin (2)'!D96</f>
        <v>13.56</v>
      </c>
      <c r="C41" s="471"/>
      <c r="D41" s="471"/>
      <c r="E41" s="471"/>
    </row>
    <row r="42" spans="1:5" ht="16.5" customHeight="1" x14ac:dyDescent="0.3">
      <c r="A42" s="469" t="s">
        <v>10</v>
      </c>
      <c r="B42" s="474">
        <f>B41/'Dihydroartemisinin (2)'!B98</f>
        <v>4.3392E-2</v>
      </c>
      <c r="C42" s="471"/>
      <c r="D42" s="471"/>
      <c r="E42" s="471"/>
    </row>
    <row r="43" spans="1:5" ht="15.75" customHeight="1" x14ac:dyDescent="0.25">
      <c r="A43" s="471"/>
      <c r="B43" s="471"/>
      <c r="C43" s="471"/>
      <c r="D43" s="471"/>
      <c r="E43" s="471"/>
    </row>
    <row r="44" spans="1:5" ht="16.5" customHeight="1" x14ac:dyDescent="0.3">
      <c r="A44" s="475" t="s">
        <v>13</v>
      </c>
      <c r="B44" s="476" t="s">
        <v>14</v>
      </c>
      <c r="C44" s="475" t="s">
        <v>15</v>
      </c>
      <c r="D44" s="475" t="s">
        <v>16</v>
      </c>
      <c r="E44" s="475" t="s">
        <v>17</v>
      </c>
    </row>
    <row r="45" spans="1:5" ht="16.5" customHeight="1" x14ac:dyDescent="0.3">
      <c r="A45" s="477">
        <v>1</v>
      </c>
      <c r="B45" s="478">
        <v>626096</v>
      </c>
      <c r="C45" s="478">
        <v>6147.94</v>
      </c>
      <c r="D45" s="480">
        <v>1.07</v>
      </c>
      <c r="E45" s="481">
        <v>5.76</v>
      </c>
    </row>
    <row r="46" spans="1:5" ht="16.5" customHeight="1" x14ac:dyDescent="0.3">
      <c r="A46" s="477">
        <v>2</v>
      </c>
      <c r="B46" s="478">
        <v>639771</v>
      </c>
      <c r="C46" s="478">
        <v>5184.84</v>
      </c>
      <c r="D46" s="480">
        <v>1.08</v>
      </c>
      <c r="E46" s="480">
        <v>5.77</v>
      </c>
    </row>
    <row r="47" spans="1:5" ht="16.5" customHeight="1" x14ac:dyDescent="0.3">
      <c r="A47" s="477">
        <v>3</v>
      </c>
      <c r="B47" s="478">
        <v>642540</v>
      </c>
      <c r="C47" s="478">
        <v>6244.41</v>
      </c>
      <c r="D47" s="480">
        <v>1.1000000000000001</v>
      </c>
      <c r="E47" s="480">
        <v>5.77</v>
      </c>
    </row>
    <row r="48" spans="1:5" ht="16.5" customHeight="1" x14ac:dyDescent="0.3">
      <c r="A48" s="477">
        <v>4</v>
      </c>
      <c r="B48" s="478">
        <v>646633</v>
      </c>
      <c r="C48" s="478">
        <v>6220.13</v>
      </c>
      <c r="D48" s="480">
        <v>1.1100000000000001</v>
      </c>
      <c r="E48" s="480">
        <v>5.77</v>
      </c>
    </row>
    <row r="49" spans="1:7" ht="16.5" customHeight="1" x14ac:dyDescent="0.3">
      <c r="A49" s="477">
        <v>5</v>
      </c>
      <c r="B49" s="478">
        <v>651073</v>
      </c>
      <c r="C49" s="478">
        <v>6292.43</v>
      </c>
      <c r="D49" s="480">
        <v>1.08</v>
      </c>
      <c r="E49" s="480">
        <v>5.79</v>
      </c>
    </row>
    <row r="50" spans="1:7" ht="16.5" customHeight="1" x14ac:dyDescent="0.3">
      <c r="A50" s="477">
        <v>6</v>
      </c>
      <c r="B50" s="499">
        <v>656676</v>
      </c>
      <c r="C50" s="499">
        <v>6248.54</v>
      </c>
      <c r="D50" s="483">
        <v>1.1100000000000001</v>
      </c>
      <c r="E50" s="483">
        <v>5.79</v>
      </c>
    </row>
    <row r="51" spans="1:7" ht="16.5" customHeight="1" x14ac:dyDescent="0.3">
      <c r="A51" s="484" t="s">
        <v>18</v>
      </c>
      <c r="B51" s="485">
        <f>AVERAGE(B45:B50)</f>
        <v>643798.16666666663</v>
      </c>
      <c r="C51" s="486">
        <f>AVERAGE(C45:C50)</f>
        <v>6056.3816666666671</v>
      </c>
      <c r="D51" s="487">
        <f>AVERAGE(D45:D50)</f>
        <v>1.0916666666666668</v>
      </c>
      <c r="E51" s="487">
        <f>AVERAGE(E45:E50)</f>
        <v>5.7749999999999995</v>
      </c>
    </row>
    <row r="52" spans="1:7" ht="16.5" customHeight="1" x14ac:dyDescent="0.3">
      <c r="A52" s="488" t="s">
        <v>19</v>
      </c>
      <c r="B52" s="489">
        <f>(STDEV(B45:B50)/B51)</f>
        <v>1.6408506908869386E-2</v>
      </c>
      <c r="C52" s="490"/>
      <c r="D52" s="490"/>
      <c r="E52" s="491"/>
    </row>
    <row r="53" spans="1:7" s="465" customFormat="1" ht="16.5" customHeight="1" x14ac:dyDescent="0.3">
      <c r="A53" s="492" t="s">
        <v>20</v>
      </c>
      <c r="B53" s="493">
        <f>COUNT(B45:B50)</f>
        <v>6</v>
      </c>
      <c r="C53" s="494"/>
      <c r="D53" s="495"/>
      <c r="E53" s="496"/>
    </row>
    <row r="54" spans="1:7" s="465" customFormat="1" ht="15.75" customHeight="1" x14ac:dyDescent="0.25">
      <c r="A54" s="471"/>
      <c r="B54" s="471"/>
      <c r="C54" s="471"/>
      <c r="D54" s="471"/>
      <c r="E54" s="471"/>
    </row>
    <row r="55" spans="1:7" s="465" customFormat="1" ht="16.5" customHeight="1" x14ac:dyDescent="0.3">
      <c r="A55" s="472" t="s">
        <v>21</v>
      </c>
      <c r="B55" s="497" t="s">
        <v>22</v>
      </c>
      <c r="C55" s="498"/>
      <c r="D55" s="498"/>
      <c r="E55" s="498"/>
    </row>
    <row r="56" spans="1:7" ht="16.5" customHeight="1" x14ac:dyDescent="0.3">
      <c r="A56" s="472"/>
      <c r="B56" s="497" t="s">
        <v>23</v>
      </c>
      <c r="C56" s="498"/>
      <c r="D56" s="498"/>
      <c r="E56" s="498"/>
    </row>
    <row r="57" spans="1:7" ht="16.5" customHeight="1" x14ac:dyDescent="0.3">
      <c r="A57" s="472"/>
      <c r="B57" s="497" t="s">
        <v>24</v>
      </c>
      <c r="C57" s="498"/>
      <c r="D57" s="498"/>
      <c r="E57" s="498"/>
    </row>
    <row r="58" spans="1:7" ht="14.25" customHeight="1" thickBot="1" x14ac:dyDescent="0.3">
      <c r="A58" s="500"/>
      <c r="B58" s="501"/>
      <c r="D58" s="502"/>
      <c r="F58" s="503"/>
      <c r="G58" s="503"/>
    </row>
    <row r="59" spans="1:7" ht="15" customHeight="1" x14ac:dyDescent="0.3">
      <c r="B59" s="520" t="s">
        <v>26</v>
      </c>
      <c r="C59" s="520"/>
      <c r="E59" s="510" t="s">
        <v>27</v>
      </c>
      <c r="F59" s="505"/>
      <c r="G59" s="510" t="s">
        <v>28</v>
      </c>
    </row>
    <row r="60" spans="1:7" ht="15" customHeight="1" x14ac:dyDescent="0.3">
      <c r="A60" s="506" t="s">
        <v>29</v>
      </c>
      <c r="B60" s="507"/>
      <c r="C60" s="507" t="s">
        <v>129</v>
      </c>
      <c r="E60" s="507" t="s">
        <v>130</v>
      </c>
      <c r="G60" s="507"/>
    </row>
    <row r="61" spans="1:7" ht="15" customHeight="1" x14ac:dyDescent="0.3">
      <c r="A61" s="506" t="s">
        <v>30</v>
      </c>
      <c r="B61" s="508"/>
      <c r="C61" s="508"/>
      <c r="E61" s="508"/>
      <c r="G61" s="50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4" zoomScaleNormal="100" workbookViewId="0">
      <selection activeCell="B22" sqref="B2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521" t="s">
        <v>0</v>
      </c>
      <c r="B15" s="521"/>
      <c r="C15" s="521"/>
      <c r="D15" s="521"/>
      <c r="E15" s="52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tr">
        <f>'Piperaquine Phosphate'!B26:C26</f>
        <v>Piperaquine Phopshate</v>
      </c>
      <c r="C18" s="10"/>
      <c r="D18" s="10"/>
      <c r="E18" s="10"/>
    </row>
    <row r="19" spans="1:6" ht="16.5" customHeight="1" x14ac:dyDescent="0.3">
      <c r="A19" s="11" t="s">
        <v>6</v>
      </c>
      <c r="B19" s="12">
        <f>'Piperaquine Phosphate'!B30</f>
        <v>99.08</v>
      </c>
      <c r="C19" s="10"/>
      <c r="D19" s="10"/>
      <c r="E19" s="10"/>
    </row>
    <row r="20" spans="1:6" ht="16.5" customHeight="1" x14ac:dyDescent="0.3">
      <c r="A20" s="7" t="s">
        <v>8</v>
      </c>
      <c r="B20" s="12">
        <f>'Piperaquine Phosphate'!D43</f>
        <v>17.010000000000002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B20/'Piperaquine Phosphate'!B45</f>
        <v>3.4020000000000002E-2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21648108</v>
      </c>
      <c r="C24" s="462">
        <v>11450.2</v>
      </c>
      <c r="D24" s="19">
        <v>0.7</v>
      </c>
      <c r="E24" s="20">
        <v>5.5</v>
      </c>
    </row>
    <row r="25" spans="1:6" ht="16.5" customHeight="1" x14ac:dyDescent="0.3">
      <c r="A25" s="17">
        <v>2</v>
      </c>
      <c r="B25" s="18">
        <v>21674470</v>
      </c>
      <c r="C25" s="462">
        <v>11443</v>
      </c>
      <c r="D25" s="19">
        <v>0.7</v>
      </c>
      <c r="E25" s="19">
        <v>5.5</v>
      </c>
    </row>
    <row r="26" spans="1:6" ht="16.5" customHeight="1" x14ac:dyDescent="0.3">
      <c r="A26" s="17">
        <v>3</v>
      </c>
      <c r="B26" s="18">
        <v>21545081</v>
      </c>
      <c r="C26" s="462">
        <v>11384.2</v>
      </c>
      <c r="D26" s="19">
        <v>0.7</v>
      </c>
      <c r="E26" s="19">
        <v>5.5</v>
      </c>
    </row>
    <row r="27" spans="1:6" ht="16.5" customHeight="1" x14ac:dyDescent="0.3">
      <c r="A27" s="17">
        <v>4</v>
      </c>
      <c r="B27" s="18">
        <v>21565015</v>
      </c>
      <c r="C27" s="462">
        <v>11261.3</v>
      </c>
      <c r="D27" s="19">
        <v>0.7</v>
      </c>
      <c r="E27" s="19">
        <v>5.5</v>
      </c>
    </row>
    <row r="28" spans="1:6" ht="16.5" customHeight="1" x14ac:dyDescent="0.3">
      <c r="A28" s="17">
        <v>5</v>
      </c>
      <c r="B28" s="18">
        <v>21558314</v>
      </c>
      <c r="C28" s="462">
        <v>11220.8</v>
      </c>
      <c r="D28" s="19">
        <v>0.7</v>
      </c>
      <c r="E28" s="19">
        <v>5.5</v>
      </c>
    </row>
    <row r="29" spans="1:6" ht="16.5" customHeight="1" x14ac:dyDescent="0.3">
      <c r="A29" s="17">
        <v>6</v>
      </c>
      <c r="B29" s="21">
        <v>21627597</v>
      </c>
      <c r="C29" s="463">
        <v>11131</v>
      </c>
      <c r="D29" s="22">
        <v>0.7</v>
      </c>
      <c r="E29" s="22">
        <v>5.5</v>
      </c>
    </row>
    <row r="30" spans="1:6" ht="16.5" customHeight="1" x14ac:dyDescent="0.3">
      <c r="A30" s="23" t="s">
        <v>18</v>
      </c>
      <c r="B30" s="24">
        <f>AVERAGE(B24:B29)</f>
        <v>21603097.5</v>
      </c>
      <c r="C30" s="25">
        <f>AVERAGE(C24:C29)</f>
        <v>11315.083333333334</v>
      </c>
      <c r="D30" s="26">
        <f>AVERAGE(D24:D29)</f>
        <v>0.70000000000000007</v>
      </c>
      <c r="E30" s="26">
        <f>AVERAGE(E24:E29)</f>
        <v>5.5</v>
      </c>
    </row>
    <row r="31" spans="1:6" ht="16.5" customHeight="1" x14ac:dyDescent="0.3">
      <c r="A31" s="27" t="s">
        <v>19</v>
      </c>
      <c r="B31" s="28">
        <f>(STDEV(B24:B29)/B30)</f>
        <v>2.4963783352410403E-3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522" t="s">
        <v>26</v>
      </c>
      <c r="C59" s="522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topLeftCell="A10" zoomScaleNormal="100" zoomScaleSheetLayoutView="100" workbookViewId="0">
      <selection activeCell="E47" sqref="E47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26" t="s">
        <v>31</v>
      </c>
      <c r="B11" s="527"/>
      <c r="C11" s="527"/>
      <c r="D11" s="527"/>
      <c r="E11" s="527"/>
      <c r="F11" s="528"/>
      <c r="G11" s="91"/>
    </row>
    <row r="12" spans="1:7" ht="16.5" customHeight="1" x14ac:dyDescent="0.3">
      <c r="A12" s="525" t="s">
        <v>32</v>
      </c>
      <c r="B12" s="525"/>
      <c r="C12" s="525"/>
      <c r="D12" s="525"/>
      <c r="E12" s="525"/>
      <c r="F12" s="525"/>
      <c r="G12" s="90"/>
    </row>
    <row r="14" spans="1:7" ht="16.5" customHeight="1" x14ac:dyDescent="0.3">
      <c r="A14" s="530" t="s">
        <v>33</v>
      </c>
      <c r="B14" s="530"/>
      <c r="C14" s="60" t="s">
        <v>5</v>
      </c>
    </row>
    <row r="15" spans="1:7" ht="16.5" customHeight="1" x14ac:dyDescent="0.3">
      <c r="A15" s="530" t="s">
        <v>34</v>
      </c>
      <c r="B15" s="530"/>
      <c r="C15" s="60" t="s">
        <v>7</v>
      </c>
    </row>
    <row r="16" spans="1:7" ht="16.5" customHeight="1" x14ac:dyDescent="0.3">
      <c r="A16" s="530" t="s">
        <v>35</v>
      </c>
      <c r="B16" s="530"/>
      <c r="C16" s="60" t="s">
        <v>9</v>
      </c>
    </row>
    <row r="17" spans="1:5" ht="16.5" customHeight="1" x14ac:dyDescent="0.3">
      <c r="A17" s="530" t="s">
        <v>36</v>
      </c>
      <c r="B17" s="530"/>
      <c r="C17" s="60" t="s">
        <v>11</v>
      </c>
    </row>
    <row r="18" spans="1:5" ht="16.5" customHeight="1" x14ac:dyDescent="0.3">
      <c r="A18" s="530" t="s">
        <v>37</v>
      </c>
      <c r="B18" s="530"/>
      <c r="C18" s="97">
        <v>42298</v>
      </c>
    </row>
    <row r="19" spans="1:5" ht="16.5" customHeight="1" x14ac:dyDescent="0.3">
      <c r="A19" s="530" t="s">
        <v>38</v>
      </c>
      <c r="B19" s="530"/>
      <c r="C19" s="97">
        <v>42317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525" t="s">
        <v>1</v>
      </c>
      <c r="B21" s="525"/>
      <c r="C21" s="59" t="s">
        <v>39</v>
      </c>
      <c r="D21" s="66"/>
    </row>
    <row r="22" spans="1:5" ht="15.75" customHeight="1" x14ac:dyDescent="0.3">
      <c r="A22" s="529"/>
      <c r="B22" s="529"/>
      <c r="C22" s="57"/>
      <c r="D22" s="529"/>
      <c r="E22" s="529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589.66</v>
      </c>
      <c r="D24" s="87">
        <f t="shared" ref="D24:D43" si="0">(C24-$C$46)/$C$46</f>
        <v>-2.0158975326171873E-2</v>
      </c>
      <c r="E24" s="53"/>
    </row>
    <row r="25" spans="1:5" ht="15.75" customHeight="1" x14ac:dyDescent="0.3">
      <c r="C25" s="95">
        <v>600.41999999999996</v>
      </c>
      <c r="D25" s="88">
        <f t="shared" si="0"/>
        <v>-2.2790285339689396E-3</v>
      </c>
      <c r="E25" s="53"/>
    </row>
    <row r="26" spans="1:5" ht="15.75" customHeight="1" x14ac:dyDescent="0.3">
      <c r="C26" s="95">
        <v>595.67999999999995</v>
      </c>
      <c r="D26" s="88">
        <f t="shared" si="0"/>
        <v>-1.015551067105464E-2</v>
      </c>
      <c r="E26" s="53"/>
    </row>
    <row r="27" spans="1:5" ht="15.75" customHeight="1" x14ac:dyDescent="0.3">
      <c r="C27" s="95">
        <v>600.14</v>
      </c>
      <c r="D27" s="88">
        <f t="shared" si="0"/>
        <v>-2.7443059597883021E-3</v>
      </c>
      <c r="E27" s="53"/>
    </row>
    <row r="28" spans="1:5" ht="15.75" customHeight="1" x14ac:dyDescent="0.3">
      <c r="C28" s="95">
        <v>599.78</v>
      </c>
      <c r="D28" s="88">
        <f t="shared" si="0"/>
        <v>-3.3425197929847061E-3</v>
      </c>
      <c r="E28" s="53"/>
    </row>
    <row r="29" spans="1:5" ht="15.75" customHeight="1" x14ac:dyDescent="0.3">
      <c r="C29" s="95">
        <v>603.63</v>
      </c>
      <c r="D29" s="88">
        <f t="shared" si="0"/>
        <v>3.0550448120321865E-3</v>
      </c>
      <c r="E29" s="53"/>
    </row>
    <row r="30" spans="1:5" ht="15.75" customHeight="1" x14ac:dyDescent="0.3">
      <c r="C30" s="95">
        <v>598.05999999999995</v>
      </c>
      <c r="D30" s="88">
        <f t="shared" si="0"/>
        <v>-6.2006525515896837E-3</v>
      </c>
      <c r="E30" s="53"/>
    </row>
    <row r="31" spans="1:5" ht="15.75" customHeight="1" x14ac:dyDescent="0.3">
      <c r="C31" s="95">
        <v>603.58000000000004</v>
      </c>
      <c r="D31" s="88">
        <f t="shared" si="0"/>
        <v>2.9719595574216537E-3</v>
      </c>
      <c r="E31" s="53"/>
    </row>
    <row r="32" spans="1:5" ht="15.75" customHeight="1" x14ac:dyDescent="0.3">
      <c r="C32" s="95">
        <v>597.54999999999995</v>
      </c>
      <c r="D32" s="88">
        <f t="shared" si="0"/>
        <v>-7.0481221486178754E-3</v>
      </c>
      <c r="E32" s="53"/>
    </row>
    <row r="33" spans="1:7" ht="15.75" customHeight="1" x14ac:dyDescent="0.3">
      <c r="C33" s="95">
        <v>603.87</v>
      </c>
      <c r="D33" s="88">
        <f t="shared" si="0"/>
        <v>3.4538540341631225E-3</v>
      </c>
      <c r="E33" s="53"/>
    </row>
    <row r="34" spans="1:7" ht="15.75" customHeight="1" x14ac:dyDescent="0.3">
      <c r="C34" s="95">
        <v>605.08000000000004</v>
      </c>
      <c r="D34" s="88">
        <f t="shared" si="0"/>
        <v>5.4645171957399081E-3</v>
      </c>
      <c r="E34" s="53"/>
    </row>
    <row r="35" spans="1:7" ht="15.75" customHeight="1" x14ac:dyDescent="0.3">
      <c r="C35" s="95">
        <v>604.75</v>
      </c>
      <c r="D35" s="88">
        <f t="shared" si="0"/>
        <v>4.9161545153098242E-3</v>
      </c>
      <c r="E35" s="53"/>
    </row>
    <row r="36" spans="1:7" ht="15.75" customHeight="1" x14ac:dyDescent="0.3">
      <c r="C36" s="95">
        <v>610.15</v>
      </c>
      <c r="D36" s="88">
        <f t="shared" si="0"/>
        <v>1.3889362013255505E-2</v>
      </c>
      <c r="E36" s="53"/>
    </row>
    <row r="37" spans="1:7" ht="15.75" customHeight="1" x14ac:dyDescent="0.3">
      <c r="C37" s="95">
        <v>606.5</v>
      </c>
      <c r="D37" s="88">
        <f t="shared" si="0"/>
        <v>7.8241384266811223E-3</v>
      </c>
      <c r="E37" s="53"/>
    </row>
    <row r="38" spans="1:7" ht="15.75" customHeight="1" x14ac:dyDescent="0.3">
      <c r="C38" s="95">
        <v>609.38</v>
      </c>
      <c r="D38" s="88">
        <f t="shared" si="0"/>
        <v>1.2609849092252164E-2</v>
      </c>
      <c r="E38" s="53"/>
    </row>
    <row r="39" spans="1:7" ht="15.75" customHeight="1" x14ac:dyDescent="0.3">
      <c r="C39" s="95">
        <v>599.47</v>
      </c>
      <c r="D39" s="88">
        <f t="shared" si="0"/>
        <v>-3.8576483715703882E-3</v>
      </c>
      <c r="E39" s="53"/>
    </row>
    <row r="40" spans="1:7" ht="15.75" customHeight="1" x14ac:dyDescent="0.3">
      <c r="C40" s="95">
        <v>602.77</v>
      </c>
      <c r="D40" s="88">
        <f t="shared" si="0"/>
        <v>1.6259784327296975E-3</v>
      </c>
      <c r="E40" s="53"/>
    </row>
    <row r="41" spans="1:7" ht="15.75" customHeight="1" x14ac:dyDescent="0.3">
      <c r="C41" s="95">
        <v>603.30999999999995</v>
      </c>
      <c r="D41" s="88">
        <f t="shared" si="0"/>
        <v>2.523299182524209E-3</v>
      </c>
      <c r="E41" s="53"/>
    </row>
    <row r="42" spans="1:7" ht="15.75" customHeight="1" x14ac:dyDescent="0.3">
      <c r="C42" s="95">
        <v>597.78</v>
      </c>
      <c r="D42" s="88">
        <f t="shared" si="0"/>
        <v>-6.6659299774090462E-3</v>
      </c>
      <c r="E42" s="53"/>
    </row>
    <row r="43" spans="1:7" ht="16.5" customHeight="1" x14ac:dyDescent="0.3">
      <c r="C43" s="96">
        <v>604.27</v>
      </c>
      <c r="D43" s="89">
        <f t="shared" si="0"/>
        <v>4.118536071047953E-3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12035.829999999998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601.79149999999993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523">
        <f>C46</f>
        <v>601.79149999999993</v>
      </c>
      <c r="C49" s="93">
        <f>-IF(C46&lt;=80,10%,IF(C46&lt;250,7.5%,5%))</f>
        <v>-0.05</v>
      </c>
      <c r="D49" s="81">
        <f>IF(C46&lt;=80,C46*0.9,IF(C46&lt;250,C46*0.925,C46*0.95))</f>
        <v>571.70192499999996</v>
      </c>
    </row>
    <row r="50" spans="1:6" ht="17.25" customHeight="1" x14ac:dyDescent="0.3">
      <c r="B50" s="524"/>
      <c r="C50" s="94">
        <f>IF(C46&lt;=80, 10%, IF(C46&lt;250, 7.5%, 5%))</f>
        <v>0.05</v>
      </c>
      <c r="D50" s="81">
        <f>IF(C46&lt;=80, C46*1.1, IF(C46&lt;250, C46*1.075, C46*1.05))</f>
        <v>631.8810749999999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A104" zoomScale="55" zoomScaleNormal="55" zoomScalePageLayoutView="50" workbookViewId="0">
      <selection activeCell="F111" sqref="F11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31" t="s">
        <v>45</v>
      </c>
      <c r="B1" s="531"/>
      <c r="C1" s="531"/>
      <c r="D1" s="531"/>
      <c r="E1" s="531"/>
      <c r="F1" s="531"/>
      <c r="G1" s="531"/>
      <c r="H1" s="531"/>
      <c r="I1" s="531"/>
    </row>
    <row r="2" spans="1:9" ht="18.75" customHeight="1" x14ac:dyDescent="0.25">
      <c r="A2" s="531"/>
      <c r="B2" s="531"/>
      <c r="C2" s="531"/>
      <c r="D2" s="531"/>
      <c r="E2" s="531"/>
      <c r="F2" s="531"/>
      <c r="G2" s="531"/>
      <c r="H2" s="531"/>
      <c r="I2" s="531"/>
    </row>
    <row r="3" spans="1:9" ht="18.75" customHeight="1" x14ac:dyDescent="0.25">
      <c r="A3" s="531"/>
      <c r="B3" s="531"/>
      <c r="C3" s="531"/>
      <c r="D3" s="531"/>
      <c r="E3" s="531"/>
      <c r="F3" s="531"/>
      <c r="G3" s="531"/>
      <c r="H3" s="531"/>
      <c r="I3" s="531"/>
    </row>
    <row r="4" spans="1:9" ht="18.75" customHeight="1" x14ac:dyDescent="0.25">
      <c r="A4" s="531"/>
      <c r="B4" s="531"/>
      <c r="C4" s="531"/>
      <c r="D4" s="531"/>
      <c r="E4" s="531"/>
      <c r="F4" s="531"/>
      <c r="G4" s="531"/>
      <c r="H4" s="531"/>
      <c r="I4" s="531"/>
    </row>
    <row r="5" spans="1:9" ht="18.75" customHeight="1" x14ac:dyDescent="0.25">
      <c r="A5" s="531"/>
      <c r="B5" s="531"/>
      <c r="C5" s="531"/>
      <c r="D5" s="531"/>
      <c r="E5" s="531"/>
      <c r="F5" s="531"/>
      <c r="G5" s="531"/>
      <c r="H5" s="531"/>
      <c r="I5" s="531"/>
    </row>
    <row r="6" spans="1:9" ht="18.75" customHeight="1" x14ac:dyDescent="0.25">
      <c r="A6" s="531"/>
      <c r="B6" s="531"/>
      <c r="C6" s="531"/>
      <c r="D6" s="531"/>
      <c r="E6" s="531"/>
      <c r="F6" s="531"/>
      <c r="G6" s="531"/>
      <c r="H6" s="531"/>
      <c r="I6" s="531"/>
    </row>
    <row r="7" spans="1:9" ht="18.75" customHeight="1" x14ac:dyDescent="0.25">
      <c r="A7" s="531"/>
      <c r="B7" s="531"/>
      <c r="C7" s="531"/>
      <c r="D7" s="531"/>
      <c r="E7" s="531"/>
      <c r="F7" s="531"/>
      <c r="G7" s="531"/>
      <c r="H7" s="531"/>
      <c r="I7" s="531"/>
    </row>
    <row r="8" spans="1:9" x14ac:dyDescent="0.25">
      <c r="A8" s="532" t="s">
        <v>46</v>
      </c>
      <c r="B8" s="532"/>
      <c r="C8" s="532"/>
      <c r="D8" s="532"/>
      <c r="E8" s="532"/>
      <c r="F8" s="532"/>
      <c r="G8" s="532"/>
      <c r="H8" s="532"/>
      <c r="I8" s="532"/>
    </row>
    <row r="9" spans="1:9" x14ac:dyDescent="0.25">
      <c r="A9" s="532"/>
      <c r="B9" s="532"/>
      <c r="C9" s="532"/>
      <c r="D9" s="532"/>
      <c r="E9" s="532"/>
      <c r="F9" s="532"/>
      <c r="G9" s="532"/>
      <c r="H9" s="532"/>
      <c r="I9" s="532"/>
    </row>
    <row r="10" spans="1:9" x14ac:dyDescent="0.25">
      <c r="A10" s="532"/>
      <c r="B10" s="532"/>
      <c r="C10" s="532"/>
      <c r="D10" s="532"/>
      <c r="E10" s="532"/>
      <c r="F10" s="532"/>
      <c r="G10" s="532"/>
      <c r="H10" s="532"/>
      <c r="I10" s="532"/>
    </row>
    <row r="11" spans="1:9" x14ac:dyDescent="0.25">
      <c r="A11" s="532"/>
      <c r="B11" s="532"/>
      <c r="C11" s="532"/>
      <c r="D11" s="532"/>
      <c r="E11" s="532"/>
      <c r="F11" s="532"/>
      <c r="G11" s="532"/>
      <c r="H11" s="532"/>
      <c r="I11" s="532"/>
    </row>
    <row r="12" spans="1:9" x14ac:dyDescent="0.25">
      <c r="A12" s="532"/>
      <c r="B12" s="532"/>
      <c r="C12" s="532"/>
      <c r="D12" s="532"/>
      <c r="E12" s="532"/>
      <c r="F12" s="532"/>
      <c r="G12" s="532"/>
      <c r="H12" s="532"/>
      <c r="I12" s="532"/>
    </row>
    <row r="13" spans="1:9" x14ac:dyDescent="0.25">
      <c r="A13" s="532"/>
      <c r="B13" s="532"/>
      <c r="C13" s="532"/>
      <c r="D13" s="532"/>
      <c r="E13" s="532"/>
      <c r="F13" s="532"/>
      <c r="G13" s="532"/>
      <c r="H13" s="532"/>
      <c r="I13" s="532"/>
    </row>
    <row r="14" spans="1:9" x14ac:dyDescent="0.25">
      <c r="A14" s="532"/>
      <c r="B14" s="532"/>
      <c r="C14" s="532"/>
      <c r="D14" s="532"/>
      <c r="E14" s="532"/>
      <c r="F14" s="532"/>
      <c r="G14" s="532"/>
      <c r="H14" s="532"/>
      <c r="I14" s="532"/>
    </row>
    <row r="15" spans="1:9" ht="19.5" customHeight="1" x14ac:dyDescent="0.3">
      <c r="A15" s="98"/>
    </row>
    <row r="16" spans="1:9" ht="19.5" customHeight="1" x14ac:dyDescent="0.3">
      <c r="A16" s="565" t="s">
        <v>31</v>
      </c>
      <c r="B16" s="566"/>
      <c r="C16" s="566"/>
      <c r="D16" s="566"/>
      <c r="E16" s="566"/>
      <c r="F16" s="566"/>
      <c r="G16" s="566"/>
      <c r="H16" s="567"/>
    </row>
    <row r="17" spans="1:14" ht="20.25" customHeight="1" x14ac:dyDescent="0.25">
      <c r="A17" s="568" t="s">
        <v>47</v>
      </c>
      <c r="B17" s="568"/>
      <c r="C17" s="568"/>
      <c r="D17" s="568"/>
      <c r="E17" s="568"/>
      <c r="F17" s="568"/>
      <c r="G17" s="568"/>
      <c r="H17" s="568"/>
    </row>
    <row r="18" spans="1:14" ht="26.25" customHeight="1" x14ac:dyDescent="0.4">
      <c r="A18" s="100" t="s">
        <v>33</v>
      </c>
      <c r="B18" s="564" t="s">
        <v>5</v>
      </c>
      <c r="C18" s="564"/>
      <c r="D18" s="265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78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569" t="s">
        <v>9</v>
      </c>
      <c r="C20" s="569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569" t="s">
        <v>11</v>
      </c>
      <c r="C21" s="569"/>
      <c r="D21" s="569"/>
      <c r="E21" s="569"/>
      <c r="F21" s="569"/>
      <c r="G21" s="569"/>
      <c r="H21" s="569"/>
      <c r="I21" s="104"/>
    </row>
    <row r="22" spans="1:14" ht="26.25" customHeight="1" x14ac:dyDescent="0.4">
      <c r="A22" s="100" t="s">
        <v>37</v>
      </c>
      <c r="B22" s="105">
        <v>42298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42332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564" t="s">
        <v>125</v>
      </c>
      <c r="C26" s="564"/>
    </row>
    <row r="27" spans="1:14" ht="26.25" customHeight="1" x14ac:dyDescent="0.4">
      <c r="A27" s="109" t="s">
        <v>48</v>
      </c>
      <c r="B27" s="562" t="s">
        <v>126</v>
      </c>
      <c r="C27" s="562"/>
    </row>
    <row r="28" spans="1:14" ht="27" customHeight="1" x14ac:dyDescent="0.4">
      <c r="A28" s="109" t="s">
        <v>6</v>
      </c>
      <c r="B28" s="389">
        <v>98.7</v>
      </c>
      <c r="C28" s="408"/>
    </row>
    <row r="29" spans="1:14" s="14" customFormat="1" ht="27" customHeight="1" x14ac:dyDescent="0.4">
      <c r="A29" s="109" t="s">
        <v>49</v>
      </c>
      <c r="B29" s="111"/>
      <c r="C29" s="539" t="s">
        <v>50</v>
      </c>
      <c r="D29" s="540"/>
      <c r="E29" s="540"/>
      <c r="F29" s="540"/>
      <c r="G29" s="541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98.7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542" t="s">
        <v>53</v>
      </c>
      <c r="D31" s="543"/>
      <c r="E31" s="543"/>
      <c r="F31" s="543"/>
      <c r="G31" s="543"/>
      <c r="H31" s="544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542" t="s">
        <v>55</v>
      </c>
      <c r="D32" s="543"/>
      <c r="E32" s="543"/>
      <c r="F32" s="543"/>
      <c r="G32" s="543"/>
      <c r="H32" s="544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20</v>
      </c>
      <c r="C36" s="99"/>
      <c r="D36" s="545" t="s">
        <v>59</v>
      </c>
      <c r="E36" s="563"/>
      <c r="F36" s="545" t="s">
        <v>60</v>
      </c>
      <c r="G36" s="546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313">
        <v>12236419</v>
      </c>
      <c r="E38" s="132">
        <f>IF(ISBLANK(D38),"-",$D$48/$D$45*D38)</f>
        <v>15458338.70238285</v>
      </c>
      <c r="F38" s="313">
        <v>12098199</v>
      </c>
      <c r="G38" s="133">
        <f>IF(ISBLANK(F38),"-",$D$48/$F$45*F38)</f>
        <v>14957348.520392928</v>
      </c>
      <c r="I38" s="134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5">
        <v>2</v>
      </c>
      <c r="D39" s="318">
        <v>12307193</v>
      </c>
      <c r="E39" s="137">
        <f>IF(ISBLANK(D39),"-",$D$48/$D$45*D39)</f>
        <v>15547747.904807385</v>
      </c>
      <c r="F39" s="318">
        <v>12227228</v>
      </c>
      <c r="G39" s="138">
        <f>IF(ISBLANK(F39),"-",$D$48/$F$45*F39)</f>
        <v>15116870.75359787</v>
      </c>
      <c r="I39" s="547">
        <f>ABS((F43/D43*D42)-F42)/D42</f>
        <v>2.4235105925782065E-2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5">
        <v>3</v>
      </c>
      <c r="D40" s="318">
        <v>12346927</v>
      </c>
      <c r="E40" s="137">
        <f>IF(ISBLANK(D40),"-",$D$48/$D$45*D40)</f>
        <v>15597944.096193155</v>
      </c>
      <c r="F40" s="318">
        <v>12476034</v>
      </c>
      <c r="G40" s="138">
        <f>IF(ISBLANK(F40),"-",$D$48/$F$45*F40)</f>
        <v>15424476.708497841</v>
      </c>
      <c r="I40" s="547"/>
      <c r="L40" s="117"/>
      <c r="M40" s="117"/>
      <c r="N40" s="139"/>
    </row>
    <row r="41" spans="1:14" ht="27" customHeight="1" x14ac:dyDescent="0.4">
      <c r="A41" s="124" t="s">
        <v>69</v>
      </c>
      <c r="B41" s="125">
        <v>1</v>
      </c>
      <c r="C41" s="140">
        <v>4</v>
      </c>
      <c r="D41" s="323"/>
      <c r="E41" s="142" t="str">
        <f>IF(ISBLANK(D41),"-",$D$48/$D$45*D41)</f>
        <v>-</v>
      </c>
      <c r="F41" s="323"/>
      <c r="G41" s="143" t="str">
        <f>IF(ISBLANK(F41),"-",$D$48/$F$45*F41)</f>
        <v>-</v>
      </c>
      <c r="I41" s="144"/>
      <c r="L41" s="117"/>
      <c r="M41" s="117"/>
      <c r="N41" s="139"/>
    </row>
    <row r="42" spans="1:14" ht="27" customHeight="1" x14ac:dyDescent="0.4">
      <c r="A42" s="124" t="s">
        <v>70</v>
      </c>
      <c r="B42" s="125">
        <v>1</v>
      </c>
      <c r="C42" s="145" t="s">
        <v>71</v>
      </c>
      <c r="D42" s="146">
        <f>AVERAGE(D38:D41)</f>
        <v>12296846.333333334</v>
      </c>
      <c r="E42" s="147">
        <f>AVERAGE(E38:E41)</f>
        <v>15534676.901127798</v>
      </c>
      <c r="F42" s="146">
        <f>AVERAGE(F38:F41)</f>
        <v>12267153.666666666</v>
      </c>
      <c r="G42" s="148">
        <f>AVERAGE(G38:G41)</f>
        <v>15166231.99416288</v>
      </c>
      <c r="H42" s="149"/>
    </row>
    <row r="43" spans="1:14" ht="26.25" customHeight="1" x14ac:dyDescent="0.4">
      <c r="A43" s="124" t="s">
        <v>72</v>
      </c>
      <c r="B43" s="125">
        <v>1</v>
      </c>
      <c r="C43" s="150" t="s">
        <v>73</v>
      </c>
      <c r="D43" s="333">
        <v>16.04</v>
      </c>
      <c r="E43" s="139"/>
      <c r="F43" s="333">
        <v>16.39</v>
      </c>
      <c r="H43" s="149"/>
    </row>
    <row r="44" spans="1:14" ht="26.25" customHeight="1" x14ac:dyDescent="0.4">
      <c r="A44" s="124" t="s">
        <v>74</v>
      </c>
      <c r="B44" s="125">
        <v>1</v>
      </c>
      <c r="C44" s="152" t="s">
        <v>75</v>
      </c>
      <c r="D44" s="153">
        <f>D43*$B$34</f>
        <v>16.04</v>
      </c>
      <c r="E44" s="154"/>
      <c r="F44" s="153">
        <f>F43*$B$34</f>
        <v>16.39</v>
      </c>
      <c r="H44" s="149"/>
    </row>
    <row r="45" spans="1:14" ht="19.5" customHeight="1" x14ac:dyDescent="0.3">
      <c r="A45" s="124" t="s">
        <v>76</v>
      </c>
      <c r="B45" s="155">
        <f>(B44/B43)*(B42/B41)*(B40/B39)*(B38/B37)*B36</f>
        <v>20</v>
      </c>
      <c r="C45" s="152" t="s">
        <v>77</v>
      </c>
      <c r="D45" s="156">
        <f>D44*$B$30/100</f>
        <v>15.831479999999999</v>
      </c>
      <c r="E45" s="157"/>
      <c r="F45" s="156">
        <f>F44*$B$30/100</f>
        <v>16.176930000000002</v>
      </c>
      <c r="H45" s="149"/>
    </row>
    <row r="46" spans="1:14" ht="19.5" customHeight="1" x14ac:dyDescent="0.3">
      <c r="A46" s="533" t="s">
        <v>78</v>
      </c>
      <c r="B46" s="534"/>
      <c r="C46" s="152" t="s">
        <v>79</v>
      </c>
      <c r="D46" s="158">
        <f>D45/$B$45</f>
        <v>0.791574</v>
      </c>
      <c r="E46" s="159"/>
      <c r="F46" s="160">
        <f>F45/$B$45</f>
        <v>0.80884650000000013</v>
      </c>
      <c r="H46" s="149"/>
    </row>
    <row r="47" spans="1:14" ht="27" customHeight="1" x14ac:dyDescent="0.4">
      <c r="A47" s="535"/>
      <c r="B47" s="536"/>
      <c r="C47" s="161" t="s">
        <v>80</v>
      </c>
      <c r="D47" s="162">
        <v>1</v>
      </c>
      <c r="E47" s="163"/>
      <c r="F47" s="159"/>
      <c r="H47" s="149"/>
    </row>
    <row r="48" spans="1:14" ht="18.75" x14ac:dyDescent="0.3">
      <c r="C48" s="164" t="s">
        <v>81</v>
      </c>
      <c r="D48" s="156">
        <f>D47*$B$45</f>
        <v>20</v>
      </c>
      <c r="F48" s="165"/>
      <c r="H48" s="149"/>
    </row>
    <row r="49" spans="1:12" ht="19.5" customHeight="1" x14ac:dyDescent="0.3">
      <c r="C49" s="166" t="s">
        <v>82</v>
      </c>
      <c r="D49" s="167">
        <f>D48/B34</f>
        <v>20</v>
      </c>
      <c r="F49" s="165"/>
      <c r="H49" s="149"/>
    </row>
    <row r="50" spans="1:12" ht="18.75" x14ac:dyDescent="0.3">
      <c r="C50" s="122" t="s">
        <v>83</v>
      </c>
      <c r="D50" s="168">
        <f>AVERAGE(E38:E41,G38:G41)</f>
        <v>15350454.447645338</v>
      </c>
      <c r="F50" s="169"/>
      <c r="H50" s="149"/>
    </row>
    <row r="51" spans="1:12" ht="18.75" x14ac:dyDescent="0.3">
      <c r="C51" s="124" t="s">
        <v>84</v>
      </c>
      <c r="D51" s="170">
        <f>STDEV(E38:E41,G38:G41)/D50</f>
        <v>1.6644114260622827E-2</v>
      </c>
      <c r="F51" s="169"/>
      <c r="H51" s="149"/>
    </row>
    <row r="52" spans="1:12" ht="19.5" customHeight="1" x14ac:dyDescent="0.3">
      <c r="C52" s="171" t="s">
        <v>20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85</v>
      </c>
    </row>
    <row r="55" spans="1:12" ht="18.75" x14ac:dyDescent="0.3">
      <c r="A55" s="99" t="s">
        <v>86</v>
      </c>
      <c r="B55" s="175" t="str">
        <f>B21</f>
        <v>each tablets contains dihydroartemesinin 40mg,piperaquine phosphate 320mg.</v>
      </c>
    </row>
    <row r="56" spans="1:12" ht="26.25" customHeight="1" x14ac:dyDescent="0.4">
      <c r="A56" s="176" t="s">
        <v>87</v>
      </c>
      <c r="B56" s="177">
        <v>40</v>
      </c>
      <c r="C56" s="99" t="str">
        <f>B20</f>
        <v>Dihydroartemisinin , Piperaquine Phosphate</v>
      </c>
      <c r="H56" s="178"/>
    </row>
    <row r="57" spans="1:12" ht="18.75" x14ac:dyDescent="0.3">
      <c r="A57" s="175" t="s">
        <v>88</v>
      </c>
      <c r="B57" s="266">
        <f>Uniformity!C46</f>
        <v>601.79149999999993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2" t="s">
        <v>89</v>
      </c>
      <c r="B59" s="123">
        <v>50</v>
      </c>
      <c r="C59" s="99"/>
      <c r="D59" s="179" t="s">
        <v>90</v>
      </c>
      <c r="E59" s="180" t="s">
        <v>62</v>
      </c>
      <c r="F59" s="180" t="s">
        <v>63</v>
      </c>
      <c r="G59" s="180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4</v>
      </c>
      <c r="C60" s="550" t="s">
        <v>94</v>
      </c>
      <c r="D60" s="553">
        <v>603.4</v>
      </c>
      <c r="E60" s="181">
        <v>1</v>
      </c>
      <c r="F60" s="182">
        <v>4826914</v>
      </c>
      <c r="G60" s="267">
        <f>IF(ISBLANK(F60),"-",(F60/$D$50*$D$47*$B$68)*($B$57/$D$60))</f>
        <v>39.201174620082021</v>
      </c>
      <c r="H60" s="183">
        <f t="shared" ref="H60:H71" si="0">IF(ISBLANK(F60),"-",G60/$B$56)</f>
        <v>0.98002936550205055</v>
      </c>
      <c r="L60" s="112"/>
    </row>
    <row r="61" spans="1:12" s="14" customFormat="1" ht="26.25" customHeight="1" x14ac:dyDescent="0.4">
      <c r="A61" s="124" t="s">
        <v>95</v>
      </c>
      <c r="B61" s="125">
        <v>10</v>
      </c>
      <c r="C61" s="551"/>
      <c r="D61" s="554"/>
      <c r="E61" s="184">
        <v>2</v>
      </c>
      <c r="F61" s="136"/>
      <c r="G61" s="268" t="str">
        <f>IF(ISBLANK(F61),"-",(F61/$D$50*$D$47*$B$68)*($B$57/$D$60))</f>
        <v>-</v>
      </c>
      <c r="H61" s="185" t="str">
        <f t="shared" si="0"/>
        <v>-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551"/>
      <c r="D62" s="554"/>
      <c r="E62" s="184">
        <v>3</v>
      </c>
      <c r="F62" s="186">
        <v>4879558</v>
      </c>
      <c r="G62" s="268">
        <f>IF(ISBLANK(F62),"-",(F62/$D$50*$D$47*$B$68)*($B$57/$D$60))</f>
        <v>39.628716241229526</v>
      </c>
      <c r="H62" s="185">
        <f t="shared" si="0"/>
        <v>0.99071790603073817</v>
      </c>
      <c r="L62" s="112"/>
    </row>
    <row r="63" spans="1:12" ht="27" customHeight="1" x14ac:dyDescent="0.4">
      <c r="A63" s="124" t="s">
        <v>97</v>
      </c>
      <c r="B63" s="125">
        <v>1</v>
      </c>
      <c r="C63" s="561"/>
      <c r="D63" s="555"/>
      <c r="E63" s="187">
        <v>4</v>
      </c>
      <c r="F63" s="188"/>
      <c r="G63" s="268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550" t="s">
        <v>99</v>
      </c>
      <c r="D64" s="553">
        <v>603.80999999999995</v>
      </c>
      <c r="E64" s="181">
        <v>1</v>
      </c>
      <c r="F64" s="182">
        <v>4797833</v>
      </c>
      <c r="G64" s="269">
        <f>IF(ISBLANK(F64),"-",(F64/$D$50*$D$47*$B$68)*($B$57/$D$64))</f>
        <v>38.938538865726869</v>
      </c>
      <c r="H64" s="189">
        <f t="shared" si="0"/>
        <v>0.97346347164317171</v>
      </c>
    </row>
    <row r="65" spans="1:8" ht="26.25" customHeight="1" x14ac:dyDescent="0.4">
      <c r="A65" s="124" t="s">
        <v>100</v>
      </c>
      <c r="B65" s="125">
        <v>1</v>
      </c>
      <c r="C65" s="551"/>
      <c r="D65" s="554"/>
      <c r="E65" s="184">
        <v>2</v>
      </c>
      <c r="F65" s="136"/>
      <c r="G65" s="270" t="str">
        <f>IF(ISBLANK(F65),"-",(F65/$D$50*$D$47*$B$68)*($B$57/$D$64))</f>
        <v>-</v>
      </c>
      <c r="H65" s="190" t="str">
        <f t="shared" si="0"/>
        <v>-</v>
      </c>
    </row>
    <row r="66" spans="1:8" ht="26.25" customHeight="1" x14ac:dyDescent="0.4">
      <c r="A66" s="124" t="s">
        <v>101</v>
      </c>
      <c r="B66" s="125">
        <v>1</v>
      </c>
      <c r="C66" s="551"/>
      <c r="D66" s="554"/>
      <c r="E66" s="184">
        <v>3</v>
      </c>
      <c r="F66" s="136">
        <v>4778937</v>
      </c>
      <c r="G66" s="270">
        <f>IF(ISBLANK(F66),"-",(F66/$D$50*$D$47*$B$68)*($B$57/$D$64))</f>
        <v>38.785181583302332</v>
      </c>
      <c r="H66" s="190">
        <f t="shared" si="0"/>
        <v>0.96962953958255826</v>
      </c>
    </row>
    <row r="67" spans="1:8" ht="27" customHeight="1" x14ac:dyDescent="0.4">
      <c r="A67" s="124" t="s">
        <v>102</v>
      </c>
      <c r="B67" s="125">
        <v>1</v>
      </c>
      <c r="C67" s="561"/>
      <c r="D67" s="555"/>
      <c r="E67" s="187">
        <v>4</v>
      </c>
      <c r="F67" s="188"/>
      <c r="G67" s="271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4" t="s">
        <v>103</v>
      </c>
      <c r="B68" s="192">
        <f>(B67/B66)*(B65/B64)*(B63/B62)*(B61/B60)*B59</f>
        <v>125</v>
      </c>
      <c r="C68" s="550" t="s">
        <v>104</v>
      </c>
      <c r="D68" s="553">
        <v>603.05999999999995</v>
      </c>
      <c r="E68" s="181">
        <v>1</v>
      </c>
      <c r="F68" s="182">
        <v>4620554</v>
      </c>
      <c r="G68" s="269">
        <f>IF(ISBLANK(F68),"-",(F68/$D$50*$D$47*$B$68)*($B$57/$D$68))</f>
        <v>37.546404258366344</v>
      </c>
      <c r="H68" s="185">
        <f t="shared" si="0"/>
        <v>0.93866010645915865</v>
      </c>
    </row>
    <row r="69" spans="1:8" ht="27" customHeight="1" x14ac:dyDescent="0.4">
      <c r="A69" s="171" t="s">
        <v>105</v>
      </c>
      <c r="B69" s="193">
        <f>(D47*B68)/B56*B57</f>
        <v>1880.5984374999998</v>
      </c>
      <c r="C69" s="551"/>
      <c r="D69" s="554"/>
      <c r="E69" s="184">
        <v>2</v>
      </c>
      <c r="F69" s="136">
        <v>4862292</v>
      </c>
      <c r="G69" s="270">
        <f>IF(ISBLANK(F69),"-",(F69/$D$50*$D$47*$B$68)*($B$57/$D$68))</f>
        <v>39.510755864820673</v>
      </c>
      <c r="H69" s="185">
        <f t="shared" si="0"/>
        <v>0.98776889662051681</v>
      </c>
    </row>
    <row r="70" spans="1:8" ht="26.25" customHeight="1" x14ac:dyDescent="0.4">
      <c r="A70" s="556" t="s">
        <v>78</v>
      </c>
      <c r="B70" s="557"/>
      <c r="C70" s="551"/>
      <c r="D70" s="554"/>
      <c r="E70" s="184">
        <v>3</v>
      </c>
      <c r="F70" s="136">
        <v>4691087</v>
      </c>
      <c r="G70" s="270">
        <f>IF(ISBLANK(F70),"-",(F70/$D$50*$D$47*$B$68)*($B$57/$D$68))</f>
        <v>38.119552095520802</v>
      </c>
      <c r="H70" s="185">
        <f t="shared" si="0"/>
        <v>0.95298880238802008</v>
      </c>
    </row>
    <row r="71" spans="1:8" ht="27" customHeight="1" x14ac:dyDescent="0.4">
      <c r="A71" s="558"/>
      <c r="B71" s="559"/>
      <c r="C71" s="552"/>
      <c r="D71" s="555"/>
      <c r="E71" s="187">
        <v>4</v>
      </c>
      <c r="F71" s="188"/>
      <c r="G71" s="271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195"/>
      <c r="B72" s="195"/>
      <c r="C72" s="195"/>
      <c r="D72" s="195"/>
      <c r="E72" s="195"/>
      <c r="F72" s="197" t="s">
        <v>71</v>
      </c>
      <c r="G72" s="276">
        <f>AVERAGE(G60:G71)</f>
        <v>38.818617647006938</v>
      </c>
      <c r="H72" s="198">
        <f>AVERAGE(H60:H71)</f>
        <v>0.97046544117517342</v>
      </c>
    </row>
    <row r="73" spans="1:8" ht="26.25" customHeight="1" x14ac:dyDescent="0.4">
      <c r="C73" s="195"/>
      <c r="D73" s="195"/>
      <c r="E73" s="195"/>
      <c r="F73" s="199" t="s">
        <v>84</v>
      </c>
      <c r="G73" s="272">
        <f>STDEV(G60:G71)/G72</f>
        <v>1.9404548745268219E-2</v>
      </c>
      <c r="H73" s="272">
        <f>STDEV(H60:H71)/H72</f>
        <v>1.9404548745268209E-2</v>
      </c>
    </row>
    <row r="74" spans="1:8" ht="27" customHeight="1" x14ac:dyDescent="0.4">
      <c r="A74" s="195"/>
      <c r="B74" s="195"/>
      <c r="C74" s="196"/>
      <c r="D74" s="196"/>
      <c r="E74" s="200"/>
      <c r="F74" s="201" t="s">
        <v>20</v>
      </c>
      <c r="G74" s="202">
        <f>COUNT(G60:G71)</f>
        <v>7</v>
      </c>
      <c r="H74" s="202">
        <f>COUNT(H60:H71)</f>
        <v>7</v>
      </c>
    </row>
    <row r="76" spans="1:8" ht="26.25" customHeight="1" x14ac:dyDescent="0.4">
      <c r="A76" s="108" t="s">
        <v>106</v>
      </c>
      <c r="B76" s="203" t="s">
        <v>107</v>
      </c>
      <c r="C76" s="537" t="str">
        <f>B20</f>
        <v>Dihydroartemisinin , Piperaquine Phosphate</v>
      </c>
      <c r="D76" s="537"/>
      <c r="E76" s="204" t="s">
        <v>108</v>
      </c>
      <c r="F76" s="204"/>
      <c r="G76" s="205">
        <f>H72</f>
        <v>0.97046544117517342</v>
      </c>
      <c r="H76" s="206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560" t="str">
        <f>B26</f>
        <v>Dihydroartemisinin</v>
      </c>
      <c r="C79" s="560"/>
    </row>
    <row r="80" spans="1:8" ht="26.25" customHeight="1" x14ac:dyDescent="0.4">
      <c r="A80" s="109" t="s">
        <v>48</v>
      </c>
      <c r="B80" s="560" t="str">
        <f>B27</f>
        <v>D5-3</v>
      </c>
      <c r="C80" s="560"/>
    </row>
    <row r="81" spans="1:12" ht="27" customHeight="1" x14ac:dyDescent="0.4">
      <c r="A81" s="109" t="s">
        <v>6</v>
      </c>
      <c r="B81" s="207">
        <v>98.7</v>
      </c>
    </row>
    <row r="82" spans="1:12" s="14" customFormat="1" ht="27" customHeight="1" x14ac:dyDescent="0.4">
      <c r="A82" s="109" t="s">
        <v>49</v>
      </c>
      <c r="B82" s="111">
        <v>0</v>
      </c>
      <c r="C82" s="539" t="s">
        <v>50</v>
      </c>
      <c r="D82" s="540"/>
      <c r="E82" s="540"/>
      <c r="F82" s="540"/>
      <c r="G82" s="541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98.7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542" t="s">
        <v>111</v>
      </c>
      <c r="D84" s="543"/>
      <c r="E84" s="543"/>
      <c r="F84" s="543"/>
      <c r="G84" s="543"/>
      <c r="H84" s="544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542" t="s">
        <v>112</v>
      </c>
      <c r="D85" s="543"/>
      <c r="E85" s="543"/>
      <c r="F85" s="543"/>
      <c r="G85" s="543"/>
      <c r="H85" s="544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20</v>
      </c>
      <c r="D89" s="208" t="s">
        <v>59</v>
      </c>
      <c r="E89" s="209"/>
      <c r="F89" s="545" t="s">
        <v>60</v>
      </c>
      <c r="G89" s="546"/>
    </row>
    <row r="90" spans="1:12" ht="27" customHeight="1" x14ac:dyDescent="0.4">
      <c r="A90" s="124" t="s">
        <v>61</v>
      </c>
      <c r="B90" s="125">
        <v>2</v>
      </c>
      <c r="C90" s="210" t="s">
        <v>62</v>
      </c>
      <c r="D90" s="127" t="s">
        <v>63</v>
      </c>
      <c r="E90" s="128" t="s">
        <v>64</v>
      </c>
      <c r="F90" s="127" t="s">
        <v>63</v>
      </c>
      <c r="G90" s="211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50</v>
      </c>
      <c r="C91" s="212">
        <v>1</v>
      </c>
      <c r="D91" s="313">
        <v>3603473</v>
      </c>
      <c r="E91" s="132">
        <f>IF(ISBLANK(D91),"-",$D$101/$D$98*D91)</f>
        <v>1011619.6057194626</v>
      </c>
      <c r="F91" s="313">
        <v>3644377</v>
      </c>
      <c r="G91" s="133">
        <f>IF(ISBLANK(F91),"-",$D$101/$F$98*F91)</f>
        <v>1001254.942137421</v>
      </c>
      <c r="I91" s="134"/>
    </row>
    <row r="92" spans="1:12" ht="26.25" customHeight="1" x14ac:dyDescent="0.4">
      <c r="A92" s="124" t="s">
        <v>67</v>
      </c>
      <c r="B92" s="125">
        <v>1</v>
      </c>
      <c r="C92" s="196">
        <v>2</v>
      </c>
      <c r="D92" s="318">
        <v>3622097</v>
      </c>
      <c r="E92" s="137">
        <f>IF(ISBLANK(D92),"-",$D$101/$D$98*D92)</f>
        <v>1016848.0071912981</v>
      </c>
      <c r="F92" s="318">
        <v>3627878</v>
      </c>
      <c r="G92" s="138">
        <f>IF(ISBLANK(F92),"-",$D$101/$F$98*F92)</f>
        <v>996722.01228677016</v>
      </c>
      <c r="I92" s="547">
        <f>ABS((F96/D96*D95)-F95)/D95</f>
        <v>1.6388076965237672E-2</v>
      </c>
    </row>
    <row r="93" spans="1:12" ht="26.25" customHeight="1" x14ac:dyDescent="0.4">
      <c r="A93" s="124" t="s">
        <v>68</v>
      </c>
      <c r="B93" s="125">
        <v>1</v>
      </c>
      <c r="C93" s="196">
        <v>3</v>
      </c>
      <c r="D93" s="318">
        <v>3618312</v>
      </c>
      <c r="E93" s="137">
        <f>IF(ISBLANK(D93),"-",$D$101/$D$98*D93)</f>
        <v>1015785.4266731013</v>
      </c>
      <c r="F93" s="318">
        <v>3630535</v>
      </c>
      <c r="G93" s="138">
        <f>IF(ISBLANK(F93),"-",$D$101/$F$98*F93)</f>
        <v>997451.99559564819</v>
      </c>
      <c r="I93" s="547"/>
    </row>
    <row r="94" spans="1:12" ht="27" customHeight="1" x14ac:dyDescent="0.4">
      <c r="A94" s="124" t="s">
        <v>69</v>
      </c>
      <c r="B94" s="125">
        <v>1</v>
      </c>
      <c r="C94" s="213">
        <v>4</v>
      </c>
      <c r="D94" s="141"/>
      <c r="E94" s="142" t="str">
        <f>IF(ISBLANK(D94),"-",$D$101/$D$98*D94)</f>
        <v>-</v>
      </c>
      <c r="F94" s="396"/>
      <c r="G94" s="143" t="str">
        <f>IF(ISBLANK(F94),"-",$D$101/$F$98*F94)</f>
        <v>-</v>
      </c>
      <c r="I94" s="144"/>
    </row>
    <row r="95" spans="1:12" ht="27" customHeight="1" x14ac:dyDescent="0.4">
      <c r="A95" s="124" t="s">
        <v>70</v>
      </c>
      <c r="B95" s="125">
        <v>1</v>
      </c>
      <c r="C95" s="214" t="s">
        <v>71</v>
      </c>
      <c r="D95" s="215">
        <f>AVERAGE(D91:D94)</f>
        <v>3614627.3333333335</v>
      </c>
      <c r="E95" s="147">
        <f>AVERAGE(E91:E94)</f>
        <v>1014751.0131946206</v>
      </c>
      <c r="F95" s="216">
        <f>AVERAGE(F91:F94)</f>
        <v>3634263.3333333335</v>
      </c>
      <c r="G95" s="217">
        <f>AVERAGE(G91:G94)</f>
        <v>998476.31667327974</v>
      </c>
    </row>
    <row r="96" spans="1:12" ht="26.25" customHeight="1" x14ac:dyDescent="0.4">
      <c r="A96" s="124" t="s">
        <v>72</v>
      </c>
      <c r="B96" s="110">
        <v>1</v>
      </c>
      <c r="C96" s="218" t="s">
        <v>113</v>
      </c>
      <c r="D96" s="219">
        <v>16.04</v>
      </c>
      <c r="E96" s="139"/>
      <c r="F96" s="151">
        <v>16.39</v>
      </c>
    </row>
    <row r="97" spans="1:10" ht="26.25" customHeight="1" x14ac:dyDescent="0.4">
      <c r="A97" s="124" t="s">
        <v>74</v>
      </c>
      <c r="B97" s="110">
        <v>1</v>
      </c>
      <c r="C97" s="220" t="s">
        <v>114</v>
      </c>
      <c r="D97" s="221">
        <f>D96*$B$87</f>
        <v>16.04</v>
      </c>
      <c r="E97" s="154"/>
      <c r="F97" s="153">
        <f>F96*$B$87</f>
        <v>16.39</v>
      </c>
    </row>
    <row r="98" spans="1:10" ht="19.5" customHeight="1" x14ac:dyDescent="0.3">
      <c r="A98" s="124" t="s">
        <v>76</v>
      </c>
      <c r="B98" s="222">
        <f>(B97/B96)*(B95/B94)*(B93/B92)*(B91/B90)*B89</f>
        <v>500</v>
      </c>
      <c r="C98" s="220" t="s">
        <v>115</v>
      </c>
      <c r="D98" s="223">
        <f>D97*$B$83/100</f>
        <v>15.831479999999999</v>
      </c>
      <c r="E98" s="157"/>
      <c r="F98" s="156">
        <f>F97*$B$83/100</f>
        <v>16.176930000000002</v>
      </c>
    </row>
    <row r="99" spans="1:10" ht="19.5" customHeight="1" x14ac:dyDescent="0.3">
      <c r="A99" s="533" t="s">
        <v>78</v>
      </c>
      <c r="B99" s="548"/>
      <c r="C99" s="220" t="s">
        <v>116</v>
      </c>
      <c r="D99" s="224">
        <f>D98/$B$98</f>
        <v>3.1662959999999997E-2</v>
      </c>
      <c r="E99" s="157"/>
      <c r="F99" s="160">
        <f>F98/$B$98</f>
        <v>3.2353860000000005E-2</v>
      </c>
      <c r="G99" s="225"/>
      <c r="H99" s="149"/>
    </row>
    <row r="100" spans="1:10" ht="19.5" customHeight="1" x14ac:dyDescent="0.3">
      <c r="A100" s="535"/>
      <c r="B100" s="549"/>
      <c r="C100" s="220" t="s">
        <v>80</v>
      </c>
      <c r="D100" s="226">
        <f>$B$56/$B$116</f>
        <v>8.8888888888888889E-3</v>
      </c>
      <c r="F100" s="165"/>
      <c r="G100" s="227"/>
      <c r="H100" s="149"/>
    </row>
    <row r="101" spans="1:10" ht="18.75" x14ac:dyDescent="0.3">
      <c r="C101" s="220" t="s">
        <v>81</v>
      </c>
      <c r="D101" s="221">
        <f>D100*$B$98</f>
        <v>4.4444444444444446</v>
      </c>
      <c r="F101" s="165"/>
      <c r="G101" s="225"/>
      <c r="H101" s="149"/>
    </row>
    <row r="102" spans="1:10" ht="19.5" customHeight="1" x14ac:dyDescent="0.3">
      <c r="C102" s="228" t="s">
        <v>82</v>
      </c>
      <c r="D102" s="229">
        <f>D101/B34</f>
        <v>4.4444444444444446</v>
      </c>
      <c r="F102" s="169"/>
      <c r="G102" s="225"/>
      <c r="H102" s="149"/>
      <c r="J102" s="230"/>
    </row>
    <row r="103" spans="1:10" ht="18.75" x14ac:dyDescent="0.3">
      <c r="C103" s="231" t="s">
        <v>117</v>
      </c>
      <c r="D103" s="232">
        <f>AVERAGE(E91:E94,G91:G94)</f>
        <v>1006613.6649339502</v>
      </c>
      <c r="F103" s="169"/>
      <c r="G103" s="233"/>
      <c r="H103" s="149"/>
      <c r="J103" s="234"/>
    </row>
    <row r="104" spans="1:10" ht="18.75" x14ac:dyDescent="0.3">
      <c r="C104" s="199" t="s">
        <v>84</v>
      </c>
      <c r="D104" s="235">
        <f>STDEV(E91:E94,G91:G94)/D103</f>
        <v>9.1527108218014946E-3</v>
      </c>
      <c r="F104" s="169"/>
      <c r="G104" s="225"/>
      <c r="H104" s="149"/>
      <c r="J104" s="234"/>
    </row>
    <row r="105" spans="1:10" ht="19.5" customHeight="1" x14ac:dyDescent="0.3">
      <c r="C105" s="201" t="s">
        <v>20</v>
      </c>
      <c r="D105" s="236">
        <f>COUNT(E91:E94,G91:G94)</f>
        <v>6</v>
      </c>
      <c r="F105" s="169"/>
      <c r="G105" s="225"/>
      <c r="H105" s="149"/>
      <c r="J105" s="234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6.25" customHeight="1" x14ac:dyDescent="0.4">
      <c r="A107" s="122" t="s">
        <v>118</v>
      </c>
      <c r="B107" s="123">
        <v>900</v>
      </c>
      <c r="C107" s="237" t="s">
        <v>119</v>
      </c>
      <c r="D107" s="238" t="s">
        <v>63</v>
      </c>
      <c r="E107" s="239" t="s">
        <v>120</v>
      </c>
      <c r="F107" s="240" t="s">
        <v>121</v>
      </c>
    </row>
    <row r="108" spans="1:10" ht="26.25" customHeight="1" x14ac:dyDescent="0.4">
      <c r="A108" s="124" t="s">
        <v>122</v>
      </c>
      <c r="B108" s="125">
        <v>5</v>
      </c>
      <c r="C108" s="241">
        <v>1</v>
      </c>
      <c r="D108" s="242">
        <v>947427</v>
      </c>
      <c r="E108" s="273">
        <f t="shared" ref="E108:E113" si="1">IF(ISBLANK(D108),"-",D108/$D$103*$D$100*$B$116)</f>
        <v>37.648088159509186</v>
      </c>
      <c r="F108" s="243">
        <f t="shared" ref="F108:F113" si="2">IF(ISBLANK(D108), "-", E108/$B$56)</f>
        <v>0.94120220398772969</v>
      </c>
    </row>
    <row r="109" spans="1:10" ht="26.25" customHeight="1" x14ac:dyDescent="0.4">
      <c r="A109" s="124" t="s">
        <v>95</v>
      </c>
      <c r="B109" s="125">
        <v>25</v>
      </c>
      <c r="C109" s="241">
        <v>2</v>
      </c>
      <c r="D109" s="242">
        <v>834633</v>
      </c>
      <c r="E109" s="274">
        <f t="shared" si="1"/>
        <v>33.165971378096287</v>
      </c>
      <c r="F109" s="244">
        <f t="shared" si="2"/>
        <v>0.82914928445240721</v>
      </c>
    </row>
    <row r="110" spans="1:10" ht="26.25" customHeight="1" x14ac:dyDescent="0.4">
      <c r="A110" s="124" t="s">
        <v>96</v>
      </c>
      <c r="B110" s="125">
        <v>1</v>
      </c>
      <c r="C110" s="241">
        <v>3</v>
      </c>
      <c r="D110" s="242">
        <v>1203614</v>
      </c>
      <c r="E110" s="274">
        <f t="shared" si="1"/>
        <v>47.828240045955511</v>
      </c>
      <c r="F110" s="244">
        <f t="shared" si="2"/>
        <v>1.1957060011488878</v>
      </c>
    </row>
    <row r="111" spans="1:10" ht="26.25" customHeight="1" x14ac:dyDescent="0.4">
      <c r="A111" s="124" t="s">
        <v>97</v>
      </c>
      <c r="B111" s="125">
        <v>1</v>
      </c>
      <c r="C111" s="241">
        <v>4</v>
      </c>
      <c r="D111" s="242">
        <v>540617</v>
      </c>
      <c r="E111" s="274">
        <f t="shared" si="1"/>
        <v>21.482601273268948</v>
      </c>
      <c r="F111" s="244">
        <f t="shared" si="2"/>
        <v>0.53706503183172372</v>
      </c>
    </row>
    <row r="112" spans="1:10" ht="26.25" customHeight="1" x14ac:dyDescent="0.4">
      <c r="A112" s="124" t="s">
        <v>98</v>
      </c>
      <c r="B112" s="125">
        <v>1</v>
      </c>
      <c r="C112" s="241">
        <v>5</v>
      </c>
      <c r="D112" s="242">
        <v>1325442</v>
      </c>
      <c r="E112" s="274">
        <f t="shared" si="1"/>
        <v>52.669342615648681</v>
      </c>
      <c r="F112" s="244">
        <f t="shared" si="2"/>
        <v>1.3167335653912171</v>
      </c>
    </row>
    <row r="113" spans="1:10" ht="26.25" customHeight="1" x14ac:dyDescent="0.4">
      <c r="A113" s="124" t="s">
        <v>100</v>
      </c>
      <c r="B113" s="125">
        <v>1</v>
      </c>
      <c r="C113" s="245">
        <v>6</v>
      </c>
      <c r="D113" s="246">
        <v>868965</v>
      </c>
      <c r="E113" s="275">
        <f t="shared" si="1"/>
        <v>34.530228637697576</v>
      </c>
      <c r="F113" s="247">
        <f t="shared" si="2"/>
        <v>0.86325571594243944</v>
      </c>
    </row>
    <row r="114" spans="1:10" ht="26.25" customHeight="1" x14ac:dyDescent="0.4">
      <c r="A114" s="124" t="s">
        <v>101</v>
      </c>
      <c r="B114" s="125">
        <v>1</v>
      </c>
      <c r="C114" s="241"/>
      <c r="D114" s="196"/>
      <c r="E114" s="98"/>
      <c r="F114" s="248"/>
    </row>
    <row r="115" spans="1:10" ht="26.25" customHeight="1" x14ac:dyDescent="0.4">
      <c r="A115" s="124" t="s">
        <v>102</v>
      </c>
      <c r="B115" s="125">
        <v>1</v>
      </c>
      <c r="C115" s="241"/>
      <c r="D115" s="249" t="s">
        <v>71</v>
      </c>
      <c r="E115" s="277">
        <f>AVERAGE(E108:E113)</f>
        <v>37.887412018362696</v>
      </c>
      <c r="F115" s="250">
        <f>AVERAGE(F108:F113)</f>
        <v>0.94718530045906746</v>
      </c>
    </row>
    <row r="116" spans="1:10" ht="27" customHeight="1" x14ac:dyDescent="0.4">
      <c r="A116" s="124" t="s">
        <v>103</v>
      </c>
      <c r="B116" s="155">
        <f>(B115/B114)*(B113/B112)*(B111/B110)*(B109/B108)*B107</f>
        <v>4500</v>
      </c>
      <c r="C116" s="251"/>
      <c r="D116" s="214" t="s">
        <v>84</v>
      </c>
      <c r="E116" s="252">
        <f>STDEV(E108:E113)/E115</f>
        <v>0.293926046573525</v>
      </c>
      <c r="F116" s="252">
        <f>STDEV(F108:F113)/F115</f>
        <v>0.293926046573525</v>
      </c>
      <c r="I116" s="98"/>
    </row>
    <row r="117" spans="1:10" ht="27" customHeight="1" x14ac:dyDescent="0.4">
      <c r="A117" s="533" t="s">
        <v>78</v>
      </c>
      <c r="B117" s="534"/>
      <c r="C117" s="253"/>
      <c r="D117" s="254" t="s">
        <v>20</v>
      </c>
      <c r="E117" s="255">
        <f>COUNT(E108:E113)</f>
        <v>6</v>
      </c>
      <c r="F117" s="255">
        <f>COUNT(F108:F113)</f>
        <v>6</v>
      </c>
      <c r="I117" s="98"/>
      <c r="J117" s="234"/>
    </row>
    <row r="118" spans="1:10" ht="19.5" customHeight="1" x14ac:dyDescent="0.3">
      <c r="A118" s="535"/>
      <c r="B118" s="536"/>
      <c r="C118" s="98"/>
      <c r="D118" s="98"/>
      <c r="E118" s="98"/>
      <c r="F118" s="196"/>
      <c r="G118" s="98"/>
      <c r="H118" s="98"/>
      <c r="I118" s="98"/>
    </row>
    <row r="119" spans="1:10" ht="18.75" x14ac:dyDescent="0.3">
      <c r="A119" s="264"/>
      <c r="B119" s="120"/>
      <c r="C119" s="98"/>
      <c r="D119" s="98"/>
      <c r="E119" s="98"/>
      <c r="F119" s="196"/>
      <c r="G119" s="98"/>
      <c r="H119" s="98"/>
      <c r="I119" s="98"/>
    </row>
    <row r="120" spans="1:10" ht="26.25" customHeight="1" x14ac:dyDescent="0.4">
      <c r="A120" s="108" t="s">
        <v>106</v>
      </c>
      <c r="B120" s="203" t="s">
        <v>123</v>
      </c>
      <c r="C120" s="537" t="str">
        <f>B20</f>
        <v>Dihydroartemisinin , Piperaquine Phosphate</v>
      </c>
      <c r="D120" s="537"/>
      <c r="E120" s="204" t="s">
        <v>124</v>
      </c>
      <c r="F120" s="204"/>
      <c r="G120" s="205">
        <f>F115</f>
        <v>0.94718530045906746</v>
      </c>
      <c r="H120" s="98"/>
      <c r="I120" s="98"/>
    </row>
    <row r="121" spans="1:10" ht="19.5" customHeight="1" x14ac:dyDescent="0.3">
      <c r="A121" s="256"/>
      <c r="B121" s="256"/>
      <c r="C121" s="257"/>
      <c r="D121" s="257"/>
      <c r="E121" s="257"/>
      <c r="F121" s="257"/>
      <c r="G121" s="257"/>
      <c r="H121" s="257"/>
    </row>
    <row r="122" spans="1:10" ht="18.75" x14ac:dyDescent="0.3">
      <c r="B122" s="538" t="s">
        <v>26</v>
      </c>
      <c r="C122" s="538"/>
      <c r="E122" s="210" t="s">
        <v>27</v>
      </c>
      <c r="F122" s="258"/>
      <c r="G122" s="538" t="s">
        <v>28</v>
      </c>
      <c r="H122" s="538"/>
    </row>
    <row r="123" spans="1:10" ht="69.95" customHeight="1" x14ac:dyDescent="0.3">
      <c r="A123" s="259" t="s">
        <v>29</v>
      </c>
      <c r="B123" s="260"/>
      <c r="C123" s="260" t="s">
        <v>129</v>
      </c>
      <c r="E123" s="260" t="s">
        <v>130</v>
      </c>
      <c r="F123" s="98"/>
      <c r="G123" s="261"/>
      <c r="H123" s="261"/>
    </row>
    <row r="124" spans="1:10" ht="69.95" customHeight="1" x14ac:dyDescent="0.3">
      <c r="A124" s="259" t="s">
        <v>30</v>
      </c>
      <c r="B124" s="262"/>
      <c r="C124" s="262"/>
      <c r="E124" s="262"/>
      <c r="F124" s="98"/>
      <c r="G124" s="263"/>
      <c r="H124" s="263"/>
    </row>
    <row r="125" spans="1:10" ht="18.75" x14ac:dyDescent="0.3">
      <c r="A125" s="195"/>
      <c r="B125" s="195"/>
      <c r="C125" s="196"/>
      <c r="D125" s="196"/>
      <c r="E125" s="196"/>
      <c r="F125" s="200"/>
      <c r="G125" s="196"/>
      <c r="H125" s="196"/>
      <c r="I125" s="98"/>
    </row>
    <row r="126" spans="1:10" ht="18.75" x14ac:dyDescent="0.3">
      <c r="A126" s="195"/>
      <c r="B126" s="195"/>
      <c r="C126" s="196"/>
      <c r="D126" s="196"/>
      <c r="E126" s="196"/>
      <c r="F126" s="200"/>
      <c r="G126" s="196"/>
      <c r="H126" s="196"/>
      <c r="I126" s="98"/>
    </row>
    <row r="127" spans="1:10" ht="18.75" x14ac:dyDescent="0.3">
      <c r="A127" s="195"/>
      <c r="B127" s="195"/>
      <c r="C127" s="196"/>
      <c r="D127" s="196"/>
      <c r="E127" s="196"/>
      <c r="F127" s="200"/>
      <c r="G127" s="196"/>
      <c r="H127" s="196"/>
      <c r="I127" s="98"/>
    </row>
    <row r="128" spans="1:10" ht="18.75" x14ac:dyDescent="0.3">
      <c r="A128" s="195"/>
      <c r="B128" s="195"/>
      <c r="C128" s="196"/>
      <c r="D128" s="196"/>
      <c r="E128" s="196"/>
      <c r="F128" s="200"/>
      <c r="G128" s="196"/>
      <c r="H128" s="196"/>
      <c r="I128" s="98"/>
    </row>
    <row r="129" spans="1:9" ht="18.75" x14ac:dyDescent="0.3">
      <c r="A129" s="195"/>
      <c r="B129" s="195"/>
      <c r="C129" s="196"/>
      <c r="D129" s="196"/>
      <c r="E129" s="196"/>
      <c r="F129" s="200"/>
      <c r="G129" s="196"/>
      <c r="H129" s="196"/>
      <c r="I129" s="98"/>
    </row>
    <row r="130" spans="1:9" ht="18.75" x14ac:dyDescent="0.3">
      <c r="A130" s="195"/>
      <c r="B130" s="195"/>
      <c r="C130" s="196"/>
      <c r="D130" s="196"/>
      <c r="E130" s="196"/>
      <c r="F130" s="200"/>
      <c r="G130" s="196"/>
      <c r="H130" s="196"/>
      <c r="I130" s="98"/>
    </row>
    <row r="131" spans="1:9" ht="18.75" x14ac:dyDescent="0.3">
      <c r="A131" s="195"/>
      <c r="B131" s="195"/>
      <c r="C131" s="196"/>
      <c r="D131" s="196"/>
      <c r="E131" s="196"/>
      <c r="F131" s="200"/>
      <c r="G131" s="196"/>
      <c r="H131" s="196"/>
      <c r="I131" s="98"/>
    </row>
    <row r="132" spans="1:9" ht="18.75" x14ac:dyDescent="0.3">
      <c r="A132" s="195"/>
      <c r="B132" s="195"/>
      <c r="C132" s="196"/>
      <c r="D132" s="196"/>
      <c r="E132" s="196"/>
      <c r="F132" s="200"/>
      <c r="G132" s="196"/>
      <c r="H132" s="196"/>
      <c r="I132" s="98"/>
    </row>
    <row r="133" spans="1:9" ht="18.75" x14ac:dyDescent="0.3">
      <c r="A133" s="195"/>
      <c r="B133" s="195"/>
      <c r="C133" s="196"/>
      <c r="D133" s="196"/>
      <c r="E133" s="196"/>
      <c r="F133" s="200"/>
      <c r="G133" s="196"/>
      <c r="H133" s="196"/>
      <c r="I133" s="98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A101" zoomScale="55" zoomScaleNormal="55" zoomScalePageLayoutView="50" workbookViewId="0">
      <selection activeCell="D114" sqref="D114"/>
    </sheetView>
  </sheetViews>
  <sheetFormatPr defaultColWidth="9.140625" defaultRowHeight="13.5" x14ac:dyDescent="0.25"/>
  <cols>
    <col min="1" max="1" width="55.42578125" style="408" customWidth="1"/>
    <col min="2" max="2" width="33.7109375" style="408" customWidth="1"/>
    <col min="3" max="3" width="42.28515625" style="408" customWidth="1"/>
    <col min="4" max="4" width="30.5703125" style="408" customWidth="1"/>
    <col min="5" max="5" width="39.85546875" style="408" customWidth="1"/>
    <col min="6" max="6" width="30.7109375" style="408" customWidth="1"/>
    <col min="7" max="7" width="39.85546875" style="408" customWidth="1"/>
    <col min="8" max="8" width="30" style="408" customWidth="1"/>
    <col min="9" max="9" width="30.28515625" style="408" hidden="1" customWidth="1"/>
    <col min="10" max="10" width="30.42578125" style="408" customWidth="1"/>
    <col min="11" max="11" width="21.28515625" style="408" customWidth="1"/>
    <col min="12" max="12" width="9.140625" style="408"/>
    <col min="13" max="16384" width="9.140625" style="44"/>
  </cols>
  <sheetData>
    <row r="1" spans="1:9" ht="18.75" customHeight="1" x14ac:dyDescent="0.25">
      <c r="A1" s="531" t="s">
        <v>45</v>
      </c>
      <c r="B1" s="531"/>
      <c r="C1" s="531"/>
      <c r="D1" s="531"/>
      <c r="E1" s="531"/>
      <c r="F1" s="531"/>
      <c r="G1" s="531"/>
      <c r="H1" s="531"/>
      <c r="I1" s="531"/>
    </row>
    <row r="2" spans="1:9" ht="18.75" customHeight="1" x14ac:dyDescent="0.25">
      <c r="A2" s="531"/>
      <c r="B2" s="531"/>
      <c r="C2" s="531"/>
      <c r="D2" s="531"/>
      <c r="E2" s="531"/>
      <c r="F2" s="531"/>
      <c r="G2" s="531"/>
      <c r="H2" s="531"/>
      <c r="I2" s="531"/>
    </row>
    <row r="3" spans="1:9" ht="18.75" customHeight="1" x14ac:dyDescent="0.25">
      <c r="A3" s="531"/>
      <c r="B3" s="531"/>
      <c r="C3" s="531"/>
      <c r="D3" s="531"/>
      <c r="E3" s="531"/>
      <c r="F3" s="531"/>
      <c r="G3" s="531"/>
      <c r="H3" s="531"/>
      <c r="I3" s="531"/>
    </row>
    <row r="4" spans="1:9" ht="18.75" customHeight="1" x14ac:dyDescent="0.25">
      <c r="A4" s="531"/>
      <c r="B4" s="531"/>
      <c r="C4" s="531"/>
      <c r="D4" s="531"/>
      <c r="E4" s="531"/>
      <c r="F4" s="531"/>
      <c r="G4" s="531"/>
      <c r="H4" s="531"/>
      <c r="I4" s="531"/>
    </row>
    <row r="5" spans="1:9" ht="18.75" customHeight="1" x14ac:dyDescent="0.25">
      <c r="A5" s="531"/>
      <c r="B5" s="531"/>
      <c r="C5" s="531"/>
      <c r="D5" s="531"/>
      <c r="E5" s="531"/>
      <c r="F5" s="531"/>
      <c r="G5" s="531"/>
      <c r="H5" s="531"/>
      <c r="I5" s="531"/>
    </row>
    <row r="6" spans="1:9" ht="18.75" customHeight="1" x14ac:dyDescent="0.25">
      <c r="A6" s="531"/>
      <c r="B6" s="531"/>
      <c r="C6" s="531"/>
      <c r="D6" s="531"/>
      <c r="E6" s="531"/>
      <c r="F6" s="531"/>
      <c r="G6" s="531"/>
      <c r="H6" s="531"/>
      <c r="I6" s="531"/>
    </row>
    <row r="7" spans="1:9" ht="18.75" customHeight="1" x14ac:dyDescent="0.25">
      <c r="A7" s="531"/>
      <c r="B7" s="531"/>
      <c r="C7" s="531"/>
      <c r="D7" s="531"/>
      <c r="E7" s="531"/>
      <c r="F7" s="531"/>
      <c r="G7" s="531"/>
      <c r="H7" s="531"/>
      <c r="I7" s="531"/>
    </row>
    <row r="8" spans="1:9" x14ac:dyDescent="0.25">
      <c r="A8" s="532" t="s">
        <v>46</v>
      </c>
      <c r="B8" s="532"/>
      <c r="C8" s="532"/>
      <c r="D8" s="532"/>
      <c r="E8" s="532"/>
      <c r="F8" s="532"/>
      <c r="G8" s="532"/>
      <c r="H8" s="532"/>
      <c r="I8" s="532"/>
    </row>
    <row r="9" spans="1:9" x14ac:dyDescent="0.25">
      <c r="A9" s="532"/>
      <c r="B9" s="532"/>
      <c r="C9" s="532"/>
      <c r="D9" s="532"/>
      <c r="E9" s="532"/>
      <c r="F9" s="532"/>
      <c r="G9" s="532"/>
      <c r="H9" s="532"/>
      <c r="I9" s="532"/>
    </row>
    <row r="10" spans="1:9" x14ac:dyDescent="0.25">
      <c r="A10" s="532"/>
      <c r="B10" s="532"/>
      <c r="C10" s="532"/>
      <c r="D10" s="532"/>
      <c r="E10" s="532"/>
      <c r="F10" s="532"/>
      <c r="G10" s="532"/>
      <c r="H10" s="532"/>
      <c r="I10" s="532"/>
    </row>
    <row r="11" spans="1:9" x14ac:dyDescent="0.25">
      <c r="A11" s="532"/>
      <c r="B11" s="532"/>
      <c r="C11" s="532"/>
      <c r="D11" s="532"/>
      <c r="E11" s="532"/>
      <c r="F11" s="532"/>
      <c r="G11" s="532"/>
      <c r="H11" s="532"/>
      <c r="I11" s="532"/>
    </row>
    <row r="12" spans="1:9" x14ac:dyDescent="0.25">
      <c r="A12" s="532"/>
      <c r="B12" s="532"/>
      <c r="C12" s="532"/>
      <c r="D12" s="532"/>
      <c r="E12" s="532"/>
      <c r="F12" s="532"/>
      <c r="G12" s="532"/>
      <c r="H12" s="532"/>
      <c r="I12" s="532"/>
    </row>
    <row r="13" spans="1:9" x14ac:dyDescent="0.25">
      <c r="A13" s="532"/>
      <c r="B13" s="532"/>
      <c r="C13" s="532"/>
      <c r="D13" s="532"/>
      <c r="E13" s="532"/>
      <c r="F13" s="532"/>
      <c r="G13" s="532"/>
      <c r="H13" s="532"/>
      <c r="I13" s="532"/>
    </row>
    <row r="14" spans="1:9" x14ac:dyDescent="0.25">
      <c r="A14" s="532"/>
      <c r="B14" s="532"/>
      <c r="C14" s="532"/>
      <c r="D14" s="532"/>
      <c r="E14" s="532"/>
      <c r="F14" s="532"/>
      <c r="G14" s="532"/>
      <c r="H14" s="532"/>
      <c r="I14" s="532"/>
    </row>
    <row r="15" spans="1:9" ht="19.5" customHeight="1" thickBot="1" x14ac:dyDescent="0.35">
      <c r="A15" s="386"/>
    </row>
    <row r="16" spans="1:9" ht="19.5" customHeight="1" thickBot="1" x14ac:dyDescent="0.35">
      <c r="A16" s="565" t="s">
        <v>31</v>
      </c>
      <c r="B16" s="566"/>
      <c r="C16" s="566"/>
      <c r="D16" s="566"/>
      <c r="E16" s="566"/>
      <c r="F16" s="566"/>
      <c r="G16" s="566"/>
      <c r="H16" s="567"/>
    </row>
    <row r="17" spans="1:14" ht="20.25" customHeight="1" x14ac:dyDescent="0.25">
      <c r="A17" s="568" t="s">
        <v>47</v>
      </c>
      <c r="B17" s="568"/>
      <c r="C17" s="568"/>
      <c r="D17" s="568"/>
      <c r="E17" s="568"/>
      <c r="F17" s="568"/>
      <c r="G17" s="568"/>
      <c r="H17" s="568"/>
    </row>
    <row r="18" spans="1:14" ht="26.25" customHeight="1" x14ac:dyDescent="0.4">
      <c r="A18" s="281" t="s">
        <v>33</v>
      </c>
      <c r="B18" s="564" t="s">
        <v>5</v>
      </c>
      <c r="C18" s="564"/>
      <c r="D18" s="446"/>
      <c r="E18" s="282"/>
      <c r="F18" s="459"/>
      <c r="G18" s="459"/>
      <c r="H18" s="459"/>
    </row>
    <row r="19" spans="1:14" ht="26.25" customHeight="1" x14ac:dyDescent="0.4">
      <c r="A19" s="281" t="s">
        <v>34</v>
      </c>
      <c r="B19" s="511" t="s">
        <v>7</v>
      </c>
      <c r="C19" s="459">
        <v>29</v>
      </c>
      <c r="D19" s="459"/>
      <c r="E19" s="459"/>
      <c r="F19" s="459"/>
      <c r="G19" s="459"/>
      <c r="H19" s="459"/>
    </row>
    <row r="20" spans="1:14" ht="26.25" customHeight="1" x14ac:dyDescent="0.4">
      <c r="A20" s="281" t="s">
        <v>35</v>
      </c>
      <c r="B20" s="569" t="s">
        <v>9</v>
      </c>
      <c r="C20" s="569"/>
      <c r="D20" s="459"/>
      <c r="E20" s="459"/>
      <c r="F20" s="459"/>
      <c r="G20" s="459"/>
      <c r="H20" s="459"/>
    </row>
    <row r="21" spans="1:14" ht="26.25" customHeight="1" x14ac:dyDescent="0.4">
      <c r="A21" s="281" t="s">
        <v>36</v>
      </c>
      <c r="B21" s="569" t="s">
        <v>11</v>
      </c>
      <c r="C21" s="569"/>
      <c r="D21" s="569"/>
      <c r="E21" s="569"/>
      <c r="F21" s="569"/>
      <c r="G21" s="569"/>
      <c r="H21" s="569"/>
      <c r="I21" s="285"/>
    </row>
    <row r="22" spans="1:14" ht="26.25" customHeight="1" x14ac:dyDescent="0.4">
      <c r="A22" s="281" t="s">
        <v>37</v>
      </c>
      <c r="B22" s="286">
        <v>42298</v>
      </c>
      <c r="C22" s="459"/>
      <c r="D22" s="459"/>
      <c r="E22" s="459"/>
      <c r="F22" s="459"/>
      <c r="G22" s="459"/>
      <c r="H22" s="459"/>
    </row>
    <row r="23" spans="1:14" ht="26.25" customHeight="1" x14ac:dyDescent="0.4">
      <c r="A23" s="281" t="s">
        <v>38</v>
      </c>
      <c r="B23" s="286">
        <v>42332</v>
      </c>
      <c r="C23" s="459"/>
      <c r="D23" s="459"/>
      <c r="E23" s="459"/>
      <c r="F23" s="459"/>
      <c r="G23" s="459"/>
      <c r="H23" s="459"/>
    </row>
    <row r="24" spans="1:14" ht="18.75" x14ac:dyDescent="0.3">
      <c r="A24" s="281"/>
      <c r="B24" s="287"/>
    </row>
    <row r="25" spans="1:14" ht="18.75" x14ac:dyDescent="0.3">
      <c r="A25" s="288" t="s">
        <v>1</v>
      </c>
      <c r="B25" s="287"/>
    </row>
    <row r="26" spans="1:14" ht="26.25" customHeight="1" x14ac:dyDescent="0.4">
      <c r="A26" s="440" t="s">
        <v>4</v>
      </c>
      <c r="B26" s="564" t="s">
        <v>125</v>
      </c>
      <c r="C26" s="564"/>
    </row>
    <row r="27" spans="1:14" ht="26.25" customHeight="1" x14ac:dyDescent="0.4">
      <c r="A27" s="397" t="s">
        <v>48</v>
      </c>
      <c r="B27" s="562" t="s">
        <v>126</v>
      </c>
      <c r="C27" s="562"/>
    </row>
    <row r="28" spans="1:14" ht="27" customHeight="1" thickBot="1" x14ac:dyDescent="0.45">
      <c r="A28" s="397" t="s">
        <v>6</v>
      </c>
      <c r="B28" s="389">
        <v>98.7</v>
      </c>
    </row>
    <row r="29" spans="1:14" s="16" customFormat="1" ht="27" customHeight="1" thickBot="1" x14ac:dyDescent="0.45">
      <c r="A29" s="397" t="s">
        <v>49</v>
      </c>
      <c r="B29" s="292"/>
      <c r="C29" s="539" t="s">
        <v>50</v>
      </c>
      <c r="D29" s="540"/>
      <c r="E29" s="540"/>
      <c r="F29" s="540"/>
      <c r="G29" s="541"/>
      <c r="I29" s="293"/>
      <c r="J29" s="293"/>
      <c r="K29" s="293"/>
      <c r="L29" s="293"/>
    </row>
    <row r="30" spans="1:14" s="16" customFormat="1" ht="19.5" customHeight="1" thickBot="1" x14ac:dyDescent="0.35">
      <c r="A30" s="397" t="s">
        <v>51</v>
      </c>
      <c r="B30" s="514">
        <f>B28-B29</f>
        <v>98.7</v>
      </c>
      <c r="C30" s="295"/>
      <c r="D30" s="295"/>
      <c r="E30" s="295"/>
      <c r="F30" s="295"/>
      <c r="G30" s="296"/>
      <c r="I30" s="293"/>
      <c r="J30" s="293"/>
      <c r="K30" s="293"/>
      <c r="L30" s="293"/>
    </row>
    <row r="31" spans="1:14" s="16" customFormat="1" ht="27" customHeight="1" thickBot="1" x14ac:dyDescent="0.45">
      <c r="A31" s="397" t="s">
        <v>52</v>
      </c>
      <c r="B31" s="297">
        <v>1</v>
      </c>
      <c r="C31" s="542" t="s">
        <v>53</v>
      </c>
      <c r="D31" s="543"/>
      <c r="E31" s="543"/>
      <c r="F31" s="543"/>
      <c r="G31" s="543"/>
      <c r="H31" s="544"/>
      <c r="I31" s="293"/>
      <c r="J31" s="293"/>
      <c r="K31" s="293"/>
      <c r="L31" s="293"/>
    </row>
    <row r="32" spans="1:14" s="16" customFormat="1" ht="27" customHeight="1" thickBot="1" x14ac:dyDescent="0.45">
      <c r="A32" s="397" t="s">
        <v>54</v>
      </c>
      <c r="B32" s="297">
        <v>1</v>
      </c>
      <c r="C32" s="542" t="s">
        <v>55</v>
      </c>
      <c r="D32" s="543"/>
      <c r="E32" s="543"/>
      <c r="F32" s="543"/>
      <c r="G32" s="543"/>
      <c r="H32" s="544"/>
      <c r="I32" s="293"/>
      <c r="J32" s="293"/>
      <c r="K32" s="293"/>
      <c r="L32" s="298"/>
      <c r="M32" s="298"/>
      <c r="N32" s="299"/>
    </row>
    <row r="33" spans="1:14" s="16" customFormat="1" ht="17.25" customHeight="1" x14ac:dyDescent="0.3">
      <c r="A33" s="397"/>
      <c r="B33" s="300"/>
      <c r="C33" s="301"/>
      <c r="D33" s="301"/>
      <c r="E33" s="301"/>
      <c r="F33" s="301"/>
      <c r="G33" s="301"/>
      <c r="H33" s="301"/>
      <c r="I33" s="293"/>
      <c r="J33" s="293"/>
      <c r="K33" s="293"/>
      <c r="L33" s="298"/>
      <c r="M33" s="298"/>
      <c r="N33" s="299"/>
    </row>
    <row r="34" spans="1:14" s="16" customFormat="1" ht="18.75" x14ac:dyDescent="0.3">
      <c r="A34" s="397" t="s">
        <v>56</v>
      </c>
      <c r="B34" s="302">
        <f>B31/B32</f>
        <v>1</v>
      </c>
      <c r="C34" s="386" t="s">
        <v>57</v>
      </c>
      <c r="D34" s="386"/>
      <c r="E34" s="386"/>
      <c r="F34" s="386"/>
      <c r="G34" s="386"/>
      <c r="I34" s="293"/>
      <c r="J34" s="293"/>
      <c r="K34" s="293"/>
      <c r="L34" s="298"/>
      <c r="M34" s="298"/>
      <c r="N34" s="299"/>
    </row>
    <row r="35" spans="1:14" s="16" customFormat="1" ht="19.5" customHeight="1" thickBot="1" x14ac:dyDescent="0.35">
      <c r="A35" s="397"/>
      <c r="B35" s="514"/>
      <c r="G35" s="386"/>
      <c r="I35" s="293"/>
      <c r="J35" s="293"/>
      <c r="K35" s="293"/>
      <c r="L35" s="298"/>
      <c r="M35" s="298"/>
      <c r="N35" s="299"/>
    </row>
    <row r="36" spans="1:14" s="16" customFormat="1" ht="27" customHeight="1" thickBot="1" x14ac:dyDescent="0.45">
      <c r="A36" s="303" t="s">
        <v>58</v>
      </c>
      <c r="B36" s="304">
        <v>20</v>
      </c>
      <c r="C36" s="386"/>
      <c r="D36" s="545" t="s">
        <v>59</v>
      </c>
      <c r="E36" s="563"/>
      <c r="F36" s="545" t="s">
        <v>60</v>
      </c>
      <c r="G36" s="546"/>
      <c r="J36" s="293"/>
      <c r="K36" s="293"/>
      <c r="L36" s="298"/>
      <c r="M36" s="298"/>
      <c r="N36" s="299"/>
    </row>
    <row r="37" spans="1:14" s="16" customFormat="1" ht="27" customHeight="1" thickBot="1" x14ac:dyDescent="0.45">
      <c r="A37" s="305" t="s">
        <v>61</v>
      </c>
      <c r="B37" s="306">
        <v>1</v>
      </c>
      <c r="C37" s="307" t="s">
        <v>62</v>
      </c>
      <c r="D37" s="308" t="s">
        <v>63</v>
      </c>
      <c r="E37" s="309" t="s">
        <v>64</v>
      </c>
      <c r="F37" s="308" t="s">
        <v>63</v>
      </c>
      <c r="G37" s="310" t="s">
        <v>64</v>
      </c>
      <c r="I37" s="311" t="s">
        <v>65</v>
      </c>
      <c r="J37" s="293"/>
      <c r="K37" s="293"/>
      <c r="L37" s="298"/>
      <c r="M37" s="298"/>
      <c r="N37" s="299"/>
    </row>
    <row r="38" spans="1:14" s="16" customFormat="1" ht="26.25" customHeight="1" x14ac:dyDescent="0.4">
      <c r="A38" s="305" t="s">
        <v>66</v>
      </c>
      <c r="B38" s="306">
        <v>1</v>
      </c>
      <c r="C38" s="312">
        <v>1</v>
      </c>
      <c r="D38" s="313">
        <v>12236419</v>
      </c>
      <c r="E38" s="314">
        <f>IF(ISBLANK(D38),"-",$D$48/$D$45*D38)</f>
        <v>15458338.70238285</v>
      </c>
      <c r="F38" s="313">
        <v>12098199</v>
      </c>
      <c r="G38" s="315">
        <f>IF(ISBLANK(F38),"-",$D$48/$F$45*F38)</f>
        <v>14957348.520392928</v>
      </c>
      <c r="I38" s="316"/>
      <c r="J38" s="293"/>
      <c r="K38" s="293"/>
      <c r="L38" s="298"/>
      <c r="M38" s="298"/>
      <c r="N38" s="299"/>
    </row>
    <row r="39" spans="1:14" s="16" customFormat="1" ht="26.25" customHeight="1" x14ac:dyDescent="0.4">
      <c r="A39" s="305" t="s">
        <v>67</v>
      </c>
      <c r="B39" s="306">
        <v>1</v>
      </c>
      <c r="C39" s="337">
        <v>2</v>
      </c>
      <c r="D39" s="318">
        <v>12307193</v>
      </c>
      <c r="E39" s="319">
        <f>IF(ISBLANK(D39),"-",$D$48/$D$45*D39)</f>
        <v>15547747.904807385</v>
      </c>
      <c r="F39" s="318">
        <v>12227228</v>
      </c>
      <c r="G39" s="320">
        <f>IF(ISBLANK(F39),"-",$D$48/$F$45*F39)</f>
        <v>15116870.75359787</v>
      </c>
      <c r="I39" s="547">
        <f>ABS((F43/D43*D42)-F42)/D42</f>
        <v>2.4235105925782065E-2</v>
      </c>
      <c r="J39" s="293"/>
      <c r="K39" s="293"/>
      <c r="L39" s="298"/>
      <c r="M39" s="298"/>
      <c r="N39" s="299"/>
    </row>
    <row r="40" spans="1:14" ht="26.25" customHeight="1" x14ac:dyDescent="0.4">
      <c r="A40" s="305" t="s">
        <v>68</v>
      </c>
      <c r="B40" s="306">
        <v>1</v>
      </c>
      <c r="C40" s="337">
        <v>3</v>
      </c>
      <c r="D40" s="318">
        <v>12346927</v>
      </c>
      <c r="E40" s="319">
        <f>IF(ISBLANK(D40),"-",$D$48/$D$45*D40)</f>
        <v>15597944.096193155</v>
      </c>
      <c r="F40" s="318">
        <v>12476034</v>
      </c>
      <c r="G40" s="320">
        <f>IF(ISBLANK(F40),"-",$D$48/$F$45*F40)</f>
        <v>15424476.708497841</v>
      </c>
      <c r="I40" s="547"/>
      <c r="L40" s="298"/>
      <c r="M40" s="298"/>
      <c r="N40" s="386"/>
    </row>
    <row r="41" spans="1:14" ht="27" customHeight="1" thickBot="1" x14ac:dyDescent="0.45">
      <c r="A41" s="305" t="s">
        <v>69</v>
      </c>
      <c r="B41" s="306">
        <v>1</v>
      </c>
      <c r="C41" s="322">
        <v>4</v>
      </c>
      <c r="D41" s="323"/>
      <c r="E41" s="324" t="str">
        <f>IF(ISBLANK(D41),"-",$D$48/$D$45*D41)</f>
        <v>-</v>
      </c>
      <c r="F41" s="323"/>
      <c r="G41" s="325" t="str">
        <f>IF(ISBLANK(F41),"-",$D$48/$F$45*F41)</f>
        <v>-</v>
      </c>
      <c r="I41" s="326"/>
      <c r="L41" s="298"/>
      <c r="M41" s="298"/>
      <c r="N41" s="386"/>
    </row>
    <row r="42" spans="1:14" ht="27" customHeight="1" thickBot="1" x14ac:dyDescent="0.45">
      <c r="A42" s="305" t="s">
        <v>70</v>
      </c>
      <c r="B42" s="306">
        <v>1</v>
      </c>
      <c r="C42" s="327" t="s">
        <v>71</v>
      </c>
      <c r="D42" s="328">
        <f>AVERAGE(D38:D41)</f>
        <v>12296846.333333334</v>
      </c>
      <c r="E42" s="329">
        <f>AVERAGE(E38:E41)</f>
        <v>15534676.901127798</v>
      </c>
      <c r="F42" s="328">
        <f>AVERAGE(F38:F41)</f>
        <v>12267153.666666666</v>
      </c>
      <c r="G42" s="330">
        <f>AVERAGE(G38:G41)</f>
        <v>15166231.99416288</v>
      </c>
      <c r="H42" s="331"/>
    </row>
    <row r="43" spans="1:14" ht="26.25" customHeight="1" x14ac:dyDescent="0.4">
      <c r="A43" s="305" t="s">
        <v>72</v>
      </c>
      <c r="B43" s="306">
        <v>1</v>
      </c>
      <c r="C43" s="332" t="s">
        <v>73</v>
      </c>
      <c r="D43" s="333">
        <v>16.04</v>
      </c>
      <c r="E43" s="386"/>
      <c r="F43" s="333">
        <v>16.39</v>
      </c>
      <c r="H43" s="331"/>
    </row>
    <row r="44" spans="1:14" ht="26.25" customHeight="1" x14ac:dyDescent="0.4">
      <c r="A44" s="305" t="s">
        <v>74</v>
      </c>
      <c r="B44" s="306">
        <v>1</v>
      </c>
      <c r="C44" s="334" t="s">
        <v>75</v>
      </c>
      <c r="D44" s="335">
        <f>D43*$B$34</f>
        <v>16.04</v>
      </c>
      <c r="E44" s="405"/>
      <c r="F44" s="335">
        <f>F43*$B$34</f>
        <v>16.39</v>
      </c>
      <c r="H44" s="331"/>
    </row>
    <row r="45" spans="1:14" ht="19.5" customHeight="1" thickBot="1" x14ac:dyDescent="0.35">
      <c r="A45" s="305" t="s">
        <v>76</v>
      </c>
      <c r="B45" s="337">
        <f>(B44/B43)*(B42/B41)*(B40/B39)*(B38/B37)*B36</f>
        <v>20</v>
      </c>
      <c r="C45" s="334" t="s">
        <v>77</v>
      </c>
      <c r="D45" s="338">
        <f>D44*$B$30/100</f>
        <v>15.831479999999999</v>
      </c>
      <c r="E45" s="382"/>
      <c r="F45" s="338">
        <f>F44*$B$30/100</f>
        <v>16.176930000000002</v>
      </c>
      <c r="H45" s="331"/>
    </row>
    <row r="46" spans="1:14" ht="19.5" customHeight="1" thickBot="1" x14ac:dyDescent="0.35">
      <c r="A46" s="533" t="s">
        <v>78</v>
      </c>
      <c r="B46" s="534"/>
      <c r="C46" s="334" t="s">
        <v>79</v>
      </c>
      <c r="D46" s="340">
        <f>D45/$B$45</f>
        <v>0.791574</v>
      </c>
      <c r="E46" s="341"/>
      <c r="F46" s="342">
        <f>F45/$B$45</f>
        <v>0.80884650000000013</v>
      </c>
      <c r="H46" s="331"/>
    </row>
    <row r="47" spans="1:14" ht="27" customHeight="1" thickBot="1" x14ac:dyDescent="0.45">
      <c r="A47" s="535"/>
      <c r="B47" s="536"/>
      <c r="C47" s="343" t="s">
        <v>80</v>
      </c>
      <c r="D47" s="344">
        <v>1</v>
      </c>
      <c r="E47" s="345"/>
      <c r="F47" s="341"/>
      <c r="H47" s="331"/>
    </row>
    <row r="48" spans="1:14" ht="18.75" x14ac:dyDescent="0.3">
      <c r="C48" s="346" t="s">
        <v>81</v>
      </c>
      <c r="D48" s="338">
        <f>D47*$B$45</f>
        <v>20</v>
      </c>
      <c r="F48" s="347"/>
      <c r="H48" s="331"/>
    </row>
    <row r="49" spans="1:12" ht="19.5" customHeight="1" thickBot="1" x14ac:dyDescent="0.35">
      <c r="C49" s="348" t="s">
        <v>82</v>
      </c>
      <c r="D49" s="349">
        <f>D48/B34</f>
        <v>20</v>
      </c>
      <c r="F49" s="347"/>
      <c r="H49" s="331"/>
    </row>
    <row r="50" spans="1:12" ht="18.75" x14ac:dyDescent="0.3">
      <c r="C50" s="303" t="s">
        <v>83</v>
      </c>
      <c r="D50" s="350">
        <f>AVERAGE(E38:E41,G38:G41)</f>
        <v>15350454.447645338</v>
      </c>
      <c r="F50" s="351"/>
      <c r="H50" s="331"/>
    </row>
    <row r="51" spans="1:12" ht="18.75" x14ac:dyDescent="0.3">
      <c r="C51" s="305" t="s">
        <v>84</v>
      </c>
      <c r="D51" s="352">
        <f>STDEV(E38:E41,G38:G41)/D50</f>
        <v>1.6644114260622827E-2</v>
      </c>
      <c r="F51" s="351"/>
      <c r="H51" s="331"/>
    </row>
    <row r="52" spans="1:12" ht="19.5" customHeight="1" thickBot="1" x14ac:dyDescent="0.35">
      <c r="C52" s="353" t="s">
        <v>20</v>
      </c>
      <c r="D52" s="354">
        <f>COUNT(E38:E41,G38:G41)</f>
        <v>6</v>
      </c>
      <c r="F52" s="351"/>
    </row>
    <row r="54" spans="1:12" ht="18.75" x14ac:dyDescent="0.3">
      <c r="A54" s="355" t="s">
        <v>1</v>
      </c>
      <c r="B54" s="356" t="s">
        <v>85</v>
      </c>
    </row>
    <row r="55" spans="1:12" ht="18.75" x14ac:dyDescent="0.3">
      <c r="A55" s="386" t="s">
        <v>86</v>
      </c>
      <c r="B55" s="358" t="str">
        <f>B21</f>
        <v>each tablets contains dihydroartemesinin 40mg,piperaquine phosphate 320mg.</v>
      </c>
    </row>
    <row r="56" spans="1:12" ht="26.25" customHeight="1" x14ac:dyDescent="0.4">
      <c r="A56" s="358" t="s">
        <v>87</v>
      </c>
      <c r="B56" s="359">
        <v>40</v>
      </c>
      <c r="C56" s="386" t="str">
        <f>B20</f>
        <v>Dihydroartemisinin , Piperaquine Phosphate</v>
      </c>
      <c r="H56" s="405"/>
    </row>
    <row r="57" spans="1:12" ht="18.75" x14ac:dyDescent="0.3">
      <c r="A57" s="358" t="s">
        <v>88</v>
      </c>
      <c r="B57" s="447">
        <f>Uniformity!C46</f>
        <v>601.79149999999993</v>
      </c>
      <c r="H57" s="405"/>
    </row>
    <row r="58" spans="1:12" ht="19.5" customHeight="1" thickBot="1" x14ac:dyDescent="0.35">
      <c r="H58" s="405"/>
    </row>
    <row r="59" spans="1:12" s="16" customFormat="1" ht="27" customHeight="1" thickBot="1" x14ac:dyDescent="0.45">
      <c r="A59" s="303" t="s">
        <v>89</v>
      </c>
      <c r="B59" s="304">
        <v>50</v>
      </c>
      <c r="C59" s="386"/>
      <c r="D59" s="361" t="s">
        <v>90</v>
      </c>
      <c r="E59" s="362" t="s">
        <v>62</v>
      </c>
      <c r="F59" s="362" t="s">
        <v>63</v>
      </c>
      <c r="G59" s="362" t="s">
        <v>91</v>
      </c>
      <c r="H59" s="307" t="s">
        <v>92</v>
      </c>
      <c r="L59" s="293"/>
    </row>
    <row r="60" spans="1:12" s="16" customFormat="1" ht="26.25" customHeight="1" x14ac:dyDescent="0.4">
      <c r="A60" s="305" t="s">
        <v>93</v>
      </c>
      <c r="B60" s="306">
        <v>4</v>
      </c>
      <c r="C60" s="550" t="s">
        <v>94</v>
      </c>
      <c r="D60" s="553">
        <v>603.4</v>
      </c>
      <c r="E60" s="363">
        <v>1</v>
      </c>
      <c r="F60" s="364">
        <v>4826914</v>
      </c>
      <c r="G60" s="448">
        <f>IF(ISBLANK(F60),"-",(F60/$D$50*$D$47*$B$68)*($B$57/$D$60))</f>
        <v>39.201174620082021</v>
      </c>
      <c r="H60" s="365">
        <f t="shared" ref="H60:H71" si="0">IF(ISBLANK(F60),"-",G60/$B$56)</f>
        <v>0.98002936550205055</v>
      </c>
      <c r="L60" s="293"/>
    </row>
    <row r="61" spans="1:12" s="16" customFormat="1" ht="26.25" customHeight="1" x14ac:dyDescent="0.4">
      <c r="A61" s="305" t="s">
        <v>95</v>
      </c>
      <c r="B61" s="306">
        <v>10</v>
      </c>
      <c r="C61" s="551"/>
      <c r="D61" s="554"/>
      <c r="E61" s="366">
        <v>2</v>
      </c>
      <c r="F61" s="318"/>
      <c r="G61" s="449" t="str">
        <f>IF(ISBLANK(F61),"-",(F61/$D$50*$D$47*$B$68)*($B$57/$D$60))</f>
        <v>-</v>
      </c>
      <c r="H61" s="367" t="str">
        <f t="shared" si="0"/>
        <v>-</v>
      </c>
      <c r="L61" s="293"/>
    </row>
    <row r="62" spans="1:12" s="16" customFormat="1" ht="26.25" customHeight="1" x14ac:dyDescent="0.4">
      <c r="A62" s="305" t="s">
        <v>96</v>
      </c>
      <c r="B62" s="306">
        <v>1</v>
      </c>
      <c r="C62" s="551"/>
      <c r="D62" s="554"/>
      <c r="E62" s="366">
        <v>3</v>
      </c>
      <c r="F62" s="368">
        <v>4879558</v>
      </c>
      <c r="G62" s="449">
        <f>IF(ISBLANK(F62),"-",(F62/$D$50*$D$47*$B$68)*($B$57/$D$60))</f>
        <v>39.628716241229526</v>
      </c>
      <c r="H62" s="367">
        <f t="shared" si="0"/>
        <v>0.99071790603073817</v>
      </c>
      <c r="L62" s="293"/>
    </row>
    <row r="63" spans="1:12" ht="27" customHeight="1" thickBot="1" x14ac:dyDescent="0.45">
      <c r="A63" s="305" t="s">
        <v>97</v>
      </c>
      <c r="B63" s="306">
        <v>1</v>
      </c>
      <c r="C63" s="561"/>
      <c r="D63" s="555"/>
      <c r="E63" s="369">
        <v>4</v>
      </c>
      <c r="F63" s="370"/>
      <c r="G63" s="449" t="str">
        <f>IF(ISBLANK(F63),"-",(F63/$D$50*$D$47*$B$68)*($B$57/$D$60))</f>
        <v>-</v>
      </c>
      <c r="H63" s="367" t="str">
        <f t="shared" si="0"/>
        <v>-</v>
      </c>
    </row>
    <row r="64" spans="1:12" ht="26.25" customHeight="1" x14ac:dyDescent="0.4">
      <c r="A64" s="305" t="s">
        <v>98</v>
      </c>
      <c r="B64" s="306">
        <v>1</v>
      </c>
      <c r="C64" s="550" t="s">
        <v>99</v>
      </c>
      <c r="D64" s="553">
        <v>603.80999999999995</v>
      </c>
      <c r="E64" s="363">
        <v>1</v>
      </c>
      <c r="F64" s="364">
        <v>4797833</v>
      </c>
      <c r="G64" s="450">
        <f>IF(ISBLANK(F64),"-",(F64/$D$50*$D$47*$B$68)*($B$57/$D$64))</f>
        <v>38.938538865726869</v>
      </c>
      <c r="H64" s="371">
        <f t="shared" si="0"/>
        <v>0.97346347164317171</v>
      </c>
    </row>
    <row r="65" spans="1:8" ht="26.25" customHeight="1" x14ac:dyDescent="0.4">
      <c r="A65" s="305" t="s">
        <v>100</v>
      </c>
      <c r="B65" s="306">
        <v>1</v>
      </c>
      <c r="C65" s="551"/>
      <c r="D65" s="554"/>
      <c r="E65" s="366">
        <v>2</v>
      </c>
      <c r="F65" s="318"/>
      <c r="G65" s="451" t="str">
        <f>IF(ISBLANK(F65),"-",(F65/$D$50*$D$47*$B$68)*($B$57/$D$64))</f>
        <v>-</v>
      </c>
      <c r="H65" s="372" t="str">
        <f t="shared" si="0"/>
        <v>-</v>
      </c>
    </row>
    <row r="66" spans="1:8" ht="26.25" customHeight="1" x14ac:dyDescent="0.4">
      <c r="A66" s="305" t="s">
        <v>101</v>
      </c>
      <c r="B66" s="306">
        <v>1</v>
      </c>
      <c r="C66" s="551"/>
      <c r="D66" s="554"/>
      <c r="E66" s="366">
        <v>3</v>
      </c>
      <c r="F66" s="318">
        <v>4778937</v>
      </c>
      <c r="G66" s="451">
        <f>IF(ISBLANK(F66),"-",(F66/$D$50*$D$47*$B$68)*($B$57/$D$64))</f>
        <v>38.785181583302332</v>
      </c>
      <c r="H66" s="372">
        <f t="shared" si="0"/>
        <v>0.96962953958255826</v>
      </c>
    </row>
    <row r="67" spans="1:8" ht="27" customHeight="1" thickBot="1" x14ac:dyDescent="0.45">
      <c r="A67" s="305" t="s">
        <v>102</v>
      </c>
      <c r="B67" s="306">
        <v>1</v>
      </c>
      <c r="C67" s="561"/>
      <c r="D67" s="555"/>
      <c r="E67" s="369">
        <v>4</v>
      </c>
      <c r="F67" s="370"/>
      <c r="G67" s="452" t="str">
        <f>IF(ISBLANK(F67),"-",(F67/$D$50*$D$47*$B$68)*($B$57/$D$64))</f>
        <v>-</v>
      </c>
      <c r="H67" s="373" t="str">
        <f t="shared" si="0"/>
        <v>-</v>
      </c>
    </row>
    <row r="68" spans="1:8" ht="26.25" customHeight="1" x14ac:dyDescent="0.4">
      <c r="A68" s="305" t="s">
        <v>103</v>
      </c>
      <c r="B68" s="374">
        <f>(B67/B66)*(B65/B64)*(B63/B62)*(B61/B60)*B59</f>
        <v>125</v>
      </c>
      <c r="C68" s="550" t="s">
        <v>104</v>
      </c>
      <c r="D68" s="553">
        <v>603.05999999999995</v>
      </c>
      <c r="E68" s="363">
        <v>1</v>
      </c>
      <c r="F68" s="364">
        <v>4620554</v>
      </c>
      <c r="G68" s="450">
        <f>IF(ISBLANK(F68),"-",(F68/$D$50*$D$47*$B$68)*($B$57/$D$68))</f>
        <v>37.546404258366344</v>
      </c>
      <c r="H68" s="367">
        <f t="shared" si="0"/>
        <v>0.93866010645915865</v>
      </c>
    </row>
    <row r="69" spans="1:8" ht="27" customHeight="1" thickBot="1" x14ac:dyDescent="0.45">
      <c r="A69" s="353" t="s">
        <v>105</v>
      </c>
      <c r="B69" s="375">
        <f>(D47*B68)/B56*B57</f>
        <v>1880.5984374999998</v>
      </c>
      <c r="C69" s="551"/>
      <c r="D69" s="554"/>
      <c r="E69" s="366">
        <v>2</v>
      </c>
      <c r="F69" s="318">
        <v>4862292</v>
      </c>
      <c r="G69" s="451">
        <f>IF(ISBLANK(F69),"-",(F69/$D$50*$D$47*$B$68)*($B$57/$D$68))</f>
        <v>39.510755864820673</v>
      </c>
      <c r="H69" s="367">
        <f t="shared" si="0"/>
        <v>0.98776889662051681</v>
      </c>
    </row>
    <row r="70" spans="1:8" ht="26.25" customHeight="1" x14ac:dyDescent="0.4">
      <c r="A70" s="556" t="s">
        <v>78</v>
      </c>
      <c r="B70" s="557"/>
      <c r="C70" s="551"/>
      <c r="D70" s="554"/>
      <c r="E70" s="366">
        <v>3</v>
      </c>
      <c r="F70" s="318">
        <v>4691087</v>
      </c>
      <c r="G70" s="451">
        <f>IF(ISBLANK(F70),"-",(F70/$D$50*$D$47*$B$68)*($B$57/$D$68))</f>
        <v>38.119552095520802</v>
      </c>
      <c r="H70" s="367">
        <f t="shared" si="0"/>
        <v>0.95298880238802008</v>
      </c>
    </row>
    <row r="71" spans="1:8" ht="27" customHeight="1" thickBot="1" x14ac:dyDescent="0.45">
      <c r="A71" s="558"/>
      <c r="B71" s="559"/>
      <c r="C71" s="552"/>
      <c r="D71" s="555"/>
      <c r="E71" s="369">
        <v>4</v>
      </c>
      <c r="F71" s="370"/>
      <c r="G71" s="452" t="str">
        <f>IF(ISBLANK(F71),"-",(F71/$D$50*$D$47*$B$68)*($B$57/$D$68))</f>
        <v>-</v>
      </c>
      <c r="H71" s="376" t="str">
        <f t="shared" si="0"/>
        <v>-</v>
      </c>
    </row>
    <row r="72" spans="1:8" ht="26.25" customHeight="1" x14ac:dyDescent="0.4">
      <c r="A72" s="405"/>
      <c r="B72" s="405"/>
      <c r="C72" s="405"/>
      <c r="D72" s="405"/>
      <c r="E72" s="405"/>
      <c r="F72" s="379" t="s">
        <v>71</v>
      </c>
      <c r="G72" s="457">
        <f>AVERAGE(G60:G71)</f>
        <v>38.818617647006938</v>
      </c>
      <c r="H72" s="380">
        <f>AVERAGE(H60:H71)</f>
        <v>0.97046544117517342</v>
      </c>
    </row>
    <row r="73" spans="1:8" ht="26.25" customHeight="1" x14ac:dyDescent="0.4">
      <c r="C73" s="405"/>
      <c r="D73" s="405"/>
      <c r="E73" s="405"/>
      <c r="F73" s="381" t="s">
        <v>84</v>
      </c>
      <c r="G73" s="453">
        <f>STDEV(G60:G71)/G72</f>
        <v>1.9404548745268219E-2</v>
      </c>
      <c r="H73" s="453">
        <f>STDEV(H60:H71)/H72</f>
        <v>1.9404548745268209E-2</v>
      </c>
    </row>
    <row r="74" spans="1:8" ht="27" customHeight="1" thickBot="1" x14ac:dyDescent="0.45">
      <c r="A74" s="405"/>
      <c r="B74" s="405"/>
      <c r="C74" s="405"/>
      <c r="D74" s="405"/>
      <c r="E74" s="382"/>
      <c r="F74" s="383" t="s">
        <v>20</v>
      </c>
      <c r="G74" s="384">
        <f>COUNT(G60:G71)</f>
        <v>7</v>
      </c>
      <c r="H74" s="384">
        <f>COUNT(H60:H71)</f>
        <v>7</v>
      </c>
    </row>
    <row r="76" spans="1:8" ht="26.25" customHeight="1" x14ac:dyDescent="0.4">
      <c r="A76" s="440" t="s">
        <v>106</v>
      </c>
      <c r="B76" s="397" t="s">
        <v>107</v>
      </c>
      <c r="C76" s="537" t="str">
        <f>B20</f>
        <v>Dihydroartemisinin , Piperaquine Phosphate</v>
      </c>
      <c r="D76" s="537"/>
      <c r="E76" s="386" t="s">
        <v>108</v>
      </c>
      <c r="F76" s="386"/>
      <c r="G76" s="387">
        <f>H72</f>
        <v>0.97046544117517342</v>
      </c>
      <c r="H76" s="514"/>
    </row>
    <row r="77" spans="1:8" ht="18.75" x14ac:dyDescent="0.3">
      <c r="A77" s="288" t="s">
        <v>109</v>
      </c>
      <c r="B77" s="288" t="s">
        <v>110</v>
      </c>
    </row>
    <row r="78" spans="1:8" ht="18.75" x14ac:dyDescent="0.3">
      <c r="A78" s="288"/>
      <c r="B78" s="288"/>
    </row>
    <row r="79" spans="1:8" ht="26.25" customHeight="1" x14ac:dyDescent="0.4">
      <c r="A79" s="440" t="s">
        <v>4</v>
      </c>
      <c r="B79" s="560" t="str">
        <f>B26</f>
        <v>Dihydroartemisinin</v>
      </c>
      <c r="C79" s="560"/>
    </row>
    <row r="80" spans="1:8" ht="26.25" customHeight="1" x14ac:dyDescent="0.4">
      <c r="A80" s="397" t="s">
        <v>48</v>
      </c>
      <c r="B80" s="560" t="str">
        <f>B27</f>
        <v>D5-3</v>
      </c>
      <c r="C80" s="560"/>
    </row>
    <row r="81" spans="1:12" ht="27" customHeight="1" thickBot="1" x14ac:dyDescent="0.45">
      <c r="A81" s="397" t="s">
        <v>6</v>
      </c>
      <c r="B81" s="389">
        <v>99.82</v>
      </c>
    </row>
    <row r="82" spans="1:12" s="16" customFormat="1" ht="27" customHeight="1" thickBot="1" x14ac:dyDescent="0.45">
      <c r="A82" s="397" t="s">
        <v>49</v>
      </c>
      <c r="B82" s="292">
        <v>0</v>
      </c>
      <c r="C82" s="539" t="s">
        <v>50</v>
      </c>
      <c r="D82" s="540"/>
      <c r="E82" s="540"/>
      <c r="F82" s="540"/>
      <c r="G82" s="541"/>
      <c r="I82" s="293"/>
      <c r="J82" s="293"/>
      <c r="K82" s="293"/>
      <c r="L82" s="293"/>
    </row>
    <row r="83" spans="1:12" s="16" customFormat="1" ht="19.5" customHeight="1" thickBot="1" x14ac:dyDescent="0.35">
      <c r="A83" s="397" t="s">
        <v>51</v>
      </c>
      <c r="B83" s="514">
        <f>B81-B82</f>
        <v>99.82</v>
      </c>
      <c r="C83" s="295"/>
      <c r="D83" s="295"/>
      <c r="E83" s="295"/>
      <c r="F83" s="295"/>
      <c r="G83" s="296"/>
      <c r="I83" s="293"/>
      <c r="J83" s="293"/>
      <c r="K83" s="293"/>
      <c r="L83" s="293"/>
    </row>
    <row r="84" spans="1:12" s="16" customFormat="1" ht="27" customHeight="1" thickBot="1" x14ac:dyDescent="0.45">
      <c r="A84" s="397" t="s">
        <v>52</v>
      </c>
      <c r="B84" s="297">
        <v>1</v>
      </c>
      <c r="C84" s="542" t="s">
        <v>111</v>
      </c>
      <c r="D84" s="543"/>
      <c r="E84" s="543"/>
      <c r="F84" s="543"/>
      <c r="G84" s="543"/>
      <c r="H84" s="544"/>
      <c r="I84" s="293"/>
      <c r="J84" s="293"/>
      <c r="K84" s="293"/>
      <c r="L84" s="293"/>
    </row>
    <row r="85" spans="1:12" s="16" customFormat="1" ht="27" customHeight="1" thickBot="1" x14ac:dyDescent="0.45">
      <c r="A85" s="397" t="s">
        <v>54</v>
      </c>
      <c r="B85" s="297">
        <v>1</v>
      </c>
      <c r="C85" s="542" t="s">
        <v>112</v>
      </c>
      <c r="D85" s="543"/>
      <c r="E85" s="543"/>
      <c r="F85" s="543"/>
      <c r="G85" s="543"/>
      <c r="H85" s="544"/>
      <c r="I85" s="293"/>
      <c r="J85" s="293"/>
      <c r="K85" s="293"/>
      <c r="L85" s="293"/>
    </row>
    <row r="86" spans="1:12" s="16" customFormat="1" ht="18.75" x14ac:dyDescent="0.3">
      <c r="A86" s="397"/>
      <c r="B86" s="300"/>
      <c r="C86" s="301"/>
      <c r="D86" s="301"/>
      <c r="E86" s="301"/>
      <c r="F86" s="301"/>
      <c r="G86" s="301"/>
      <c r="H86" s="301"/>
      <c r="I86" s="293"/>
      <c r="J86" s="293"/>
      <c r="K86" s="293"/>
      <c r="L86" s="293"/>
    </row>
    <row r="87" spans="1:12" s="16" customFormat="1" ht="18.75" x14ac:dyDescent="0.3">
      <c r="A87" s="397" t="s">
        <v>56</v>
      </c>
      <c r="B87" s="302">
        <f>B84/B85</f>
        <v>1</v>
      </c>
      <c r="C87" s="386" t="s">
        <v>57</v>
      </c>
      <c r="D87" s="386"/>
      <c r="E87" s="386"/>
      <c r="F87" s="386"/>
      <c r="G87" s="386"/>
      <c r="I87" s="293"/>
      <c r="J87" s="293"/>
      <c r="K87" s="293"/>
      <c r="L87" s="293"/>
    </row>
    <row r="88" spans="1:12" ht="19.5" customHeight="1" thickBot="1" x14ac:dyDescent="0.35">
      <c r="A88" s="288"/>
      <c r="B88" s="288"/>
    </row>
    <row r="89" spans="1:12" ht="27" customHeight="1" thickBot="1" x14ac:dyDescent="0.45">
      <c r="A89" s="303" t="s">
        <v>58</v>
      </c>
      <c r="B89" s="304">
        <v>25</v>
      </c>
      <c r="D89" s="512" t="s">
        <v>59</v>
      </c>
      <c r="E89" s="513"/>
      <c r="F89" s="545" t="s">
        <v>60</v>
      </c>
      <c r="G89" s="546"/>
    </row>
    <row r="90" spans="1:12" ht="27" customHeight="1" thickBot="1" x14ac:dyDescent="0.45">
      <c r="A90" s="305" t="s">
        <v>61</v>
      </c>
      <c r="B90" s="306">
        <v>2</v>
      </c>
      <c r="C90" s="515" t="s">
        <v>62</v>
      </c>
      <c r="D90" s="308" t="s">
        <v>63</v>
      </c>
      <c r="E90" s="309" t="s">
        <v>64</v>
      </c>
      <c r="F90" s="308" t="s">
        <v>63</v>
      </c>
      <c r="G90" s="393" t="s">
        <v>64</v>
      </c>
      <c r="I90" s="311" t="s">
        <v>65</v>
      </c>
    </row>
    <row r="91" spans="1:12" ht="26.25" customHeight="1" x14ac:dyDescent="0.4">
      <c r="A91" s="305" t="s">
        <v>66</v>
      </c>
      <c r="B91" s="306">
        <v>25</v>
      </c>
      <c r="C91" s="394">
        <v>1</v>
      </c>
      <c r="D91" s="313">
        <v>651073</v>
      </c>
      <c r="E91" s="314">
        <f>IF(ISBLANK(D91),"-",$D$101/$D$98*D91)</f>
        <v>668066.86811744585</v>
      </c>
      <c r="F91" s="313">
        <v>661005</v>
      </c>
      <c r="G91" s="315">
        <f>IF(ISBLANK(F91),"-",$D$101/$F$98*F91)</f>
        <v>702074.80334831716</v>
      </c>
      <c r="I91" s="316"/>
    </row>
    <row r="92" spans="1:12" ht="26.25" customHeight="1" x14ac:dyDescent="0.4">
      <c r="A92" s="305" t="s">
        <v>67</v>
      </c>
      <c r="B92" s="306">
        <v>1</v>
      </c>
      <c r="C92" s="405">
        <v>2</v>
      </c>
      <c r="D92" s="318">
        <v>656676</v>
      </c>
      <c r="E92" s="319">
        <f>IF(ISBLANK(D92),"-",$D$101/$D$98*D92)</f>
        <v>673816.11384267488</v>
      </c>
      <c r="F92" s="318">
        <v>664351</v>
      </c>
      <c r="G92" s="320">
        <f>IF(ISBLANK(F92),"-",$D$101/$F$98*F92)</f>
        <v>705628.69823867886</v>
      </c>
      <c r="I92" s="547">
        <f>ABS((F96/D96*D95)-F95)/D95</f>
        <v>4.4564561983754324E-2</v>
      </c>
    </row>
    <row r="93" spans="1:12" ht="26.25" customHeight="1" x14ac:dyDescent="0.4">
      <c r="A93" s="305" t="s">
        <v>68</v>
      </c>
      <c r="B93" s="306">
        <v>1</v>
      </c>
      <c r="C93" s="405">
        <v>3</v>
      </c>
      <c r="D93" s="318">
        <v>657996</v>
      </c>
      <c r="E93" s="319">
        <f>IF(ISBLANK(D93),"-",$D$101/$D$98*D93)</f>
        <v>675170.56759197032</v>
      </c>
      <c r="F93" s="318">
        <v>661307</v>
      </c>
      <c r="G93" s="320">
        <f>IF(ISBLANK(F93),"-",$D$101/$F$98*F93)</f>
        <v>702395.56732228294</v>
      </c>
      <c r="I93" s="547"/>
    </row>
    <row r="94" spans="1:12" ht="27" customHeight="1" thickBot="1" x14ac:dyDescent="0.45">
      <c r="A94" s="305" t="s">
        <v>69</v>
      </c>
      <c r="B94" s="306">
        <v>1</v>
      </c>
      <c r="C94" s="395">
        <v>4</v>
      </c>
      <c r="D94" s="323"/>
      <c r="E94" s="324" t="str">
        <f>IF(ISBLANK(D94),"-",$D$101/$D$98*D94)</f>
        <v>-</v>
      </c>
      <c r="F94" s="396"/>
      <c r="G94" s="325" t="str">
        <f>IF(ISBLANK(F94),"-",$D$101/$F$98*F94)</f>
        <v>-</v>
      </c>
      <c r="I94" s="326"/>
    </row>
    <row r="95" spans="1:12" ht="27" customHeight="1" thickBot="1" x14ac:dyDescent="0.45">
      <c r="A95" s="305" t="s">
        <v>70</v>
      </c>
      <c r="B95" s="306">
        <v>1</v>
      </c>
      <c r="C95" s="397" t="s">
        <v>71</v>
      </c>
      <c r="D95" s="398">
        <f>AVERAGE(D91:D94)</f>
        <v>655248.33333333337</v>
      </c>
      <c r="E95" s="329">
        <f>AVERAGE(E91:E94)</f>
        <v>672351.18318403035</v>
      </c>
      <c r="F95" s="399">
        <f>AVERAGE(F91:F94)</f>
        <v>662221</v>
      </c>
      <c r="G95" s="400">
        <f>AVERAGE(G91:G94)</f>
        <v>703366.35630309302</v>
      </c>
    </row>
    <row r="96" spans="1:12" ht="26.25" customHeight="1" x14ac:dyDescent="0.4">
      <c r="A96" s="305" t="s">
        <v>72</v>
      </c>
      <c r="B96" s="389">
        <v>1</v>
      </c>
      <c r="C96" s="401" t="s">
        <v>113</v>
      </c>
      <c r="D96" s="402">
        <v>13.56</v>
      </c>
      <c r="E96" s="386"/>
      <c r="F96" s="333">
        <v>13.1</v>
      </c>
    </row>
    <row r="97" spans="1:10" ht="26.25" customHeight="1" x14ac:dyDescent="0.4">
      <c r="A97" s="305" t="s">
        <v>74</v>
      </c>
      <c r="B97" s="389">
        <v>1</v>
      </c>
      <c r="C97" s="403" t="s">
        <v>114</v>
      </c>
      <c r="D97" s="404">
        <f>D96*$B$87</f>
        <v>13.56</v>
      </c>
      <c r="E97" s="405"/>
      <c r="F97" s="335">
        <f>F96*$B$87</f>
        <v>13.1</v>
      </c>
    </row>
    <row r="98" spans="1:10" ht="19.5" customHeight="1" thickBot="1" x14ac:dyDescent="0.35">
      <c r="A98" s="305" t="s">
        <v>76</v>
      </c>
      <c r="B98" s="405">
        <f>(B97/B96)*(B95/B94)*(B93/B92)*(B91/B90)*B89</f>
        <v>312.5</v>
      </c>
      <c r="C98" s="403" t="s">
        <v>115</v>
      </c>
      <c r="D98" s="406">
        <f>D97*$B$83/100</f>
        <v>13.535591999999999</v>
      </c>
      <c r="E98" s="382"/>
      <c r="F98" s="338">
        <f>F97*$B$83/100</f>
        <v>13.076419999999999</v>
      </c>
    </row>
    <row r="99" spans="1:10" ht="19.5" customHeight="1" thickBot="1" x14ac:dyDescent="0.35">
      <c r="A99" s="533" t="s">
        <v>78</v>
      </c>
      <c r="B99" s="548"/>
      <c r="C99" s="403" t="s">
        <v>116</v>
      </c>
      <c r="D99" s="407">
        <f>D98/$B$98</f>
        <v>4.3313894399999997E-2</v>
      </c>
      <c r="E99" s="382"/>
      <c r="F99" s="342">
        <f>F98/$B$98</f>
        <v>4.1844543999999997E-2</v>
      </c>
      <c r="H99" s="331"/>
    </row>
    <row r="100" spans="1:10" ht="19.5" customHeight="1" thickBot="1" x14ac:dyDescent="0.35">
      <c r="A100" s="535"/>
      <c r="B100" s="549"/>
      <c r="C100" s="403" t="s">
        <v>80</v>
      </c>
      <c r="D100" s="409">
        <f>$B$56/$B$116</f>
        <v>4.4444444444444446E-2</v>
      </c>
      <c r="F100" s="347"/>
      <c r="G100" s="416"/>
      <c r="H100" s="331"/>
    </row>
    <row r="101" spans="1:10" ht="18.75" x14ac:dyDescent="0.3">
      <c r="C101" s="403" t="s">
        <v>81</v>
      </c>
      <c r="D101" s="404">
        <f>D100*$B$98</f>
        <v>13.888888888888889</v>
      </c>
      <c r="F101" s="347"/>
      <c r="H101" s="331"/>
    </row>
    <row r="102" spans="1:10" ht="19.5" customHeight="1" thickBot="1" x14ac:dyDescent="0.35">
      <c r="C102" s="411" t="s">
        <v>82</v>
      </c>
      <c r="D102" s="412">
        <f>D101/B34</f>
        <v>13.888888888888889</v>
      </c>
      <c r="F102" s="351"/>
      <c r="H102" s="331"/>
      <c r="J102" s="413"/>
    </row>
    <row r="103" spans="1:10" ht="18.75" x14ac:dyDescent="0.3">
      <c r="C103" s="414" t="s">
        <v>117</v>
      </c>
      <c r="D103" s="415">
        <f>AVERAGE(E91:E94,G91:G94)</f>
        <v>687858.76974356163</v>
      </c>
      <c r="F103" s="351"/>
      <c r="G103" s="416"/>
      <c r="H103" s="331"/>
      <c r="J103" s="417"/>
    </row>
    <row r="104" spans="1:10" ht="18.75" x14ac:dyDescent="0.3">
      <c r="C104" s="381" t="s">
        <v>84</v>
      </c>
      <c r="D104" s="418">
        <f>STDEV(E91:E94,G91:G94)/D103</f>
        <v>2.5004207281496264E-2</v>
      </c>
      <c r="F104" s="351"/>
      <c r="H104" s="331"/>
      <c r="J104" s="417"/>
    </row>
    <row r="105" spans="1:10" ht="19.5" customHeight="1" thickBot="1" x14ac:dyDescent="0.35">
      <c r="C105" s="383" t="s">
        <v>20</v>
      </c>
      <c r="D105" s="419">
        <f>COUNT(E91:E94,G91:G94)</f>
        <v>6</v>
      </c>
      <c r="F105" s="351"/>
      <c r="H105" s="331"/>
      <c r="J105" s="417"/>
    </row>
    <row r="106" spans="1:10" ht="19.5" customHeight="1" thickBot="1" x14ac:dyDescent="0.35">
      <c r="A106" s="355"/>
      <c r="B106" s="355"/>
      <c r="C106" s="355"/>
      <c r="D106" s="355"/>
      <c r="E106" s="355"/>
    </row>
    <row r="107" spans="1:10" ht="26.25" customHeight="1" x14ac:dyDescent="0.4">
      <c r="A107" s="303" t="s">
        <v>118</v>
      </c>
      <c r="B107" s="304">
        <v>900</v>
      </c>
      <c r="C107" s="512" t="s">
        <v>119</v>
      </c>
      <c r="D107" s="421" t="s">
        <v>63</v>
      </c>
      <c r="E107" s="422" t="s">
        <v>120</v>
      </c>
      <c r="F107" s="423" t="s">
        <v>121</v>
      </c>
    </row>
    <row r="108" spans="1:10" ht="26.25" customHeight="1" x14ac:dyDescent="0.4">
      <c r="A108" s="305" t="s">
        <v>122</v>
      </c>
      <c r="B108" s="306">
        <v>1</v>
      </c>
      <c r="C108" s="424">
        <v>1</v>
      </c>
      <c r="D108" s="242">
        <v>655073</v>
      </c>
      <c r="E108" s="454">
        <f t="shared" ref="E108:E113" si="1">IF(ISBLANK(D108),"-",D108/$D$103*$D$100*$B$116)</f>
        <v>38.093459228220091</v>
      </c>
      <c r="F108" s="425">
        <f t="shared" ref="F108:F113" si="2">IF(ISBLANK(D108), "-", E108/$B$56)</f>
        <v>0.95233648070550225</v>
      </c>
    </row>
    <row r="109" spans="1:10" ht="26.25" customHeight="1" x14ac:dyDescent="0.4">
      <c r="A109" s="305" t="s">
        <v>95</v>
      </c>
      <c r="B109" s="306">
        <v>1</v>
      </c>
      <c r="C109" s="424">
        <v>2</v>
      </c>
      <c r="D109" s="242">
        <v>661118</v>
      </c>
      <c r="E109" s="455">
        <f t="shared" si="1"/>
        <v>38.444984876559424</v>
      </c>
      <c r="F109" s="426">
        <f t="shared" si="2"/>
        <v>0.96112462191398562</v>
      </c>
    </row>
    <row r="110" spans="1:10" ht="26.25" customHeight="1" x14ac:dyDescent="0.4">
      <c r="A110" s="305" t="s">
        <v>96</v>
      </c>
      <c r="B110" s="306">
        <v>1</v>
      </c>
      <c r="C110" s="424">
        <v>3</v>
      </c>
      <c r="D110" s="242">
        <v>663858</v>
      </c>
      <c r="E110" s="455">
        <f t="shared" si="1"/>
        <v>38.60431990988446</v>
      </c>
      <c r="F110" s="426">
        <f t="shared" si="2"/>
        <v>0.96510799774711153</v>
      </c>
    </row>
    <row r="111" spans="1:10" ht="26.25" customHeight="1" x14ac:dyDescent="0.4">
      <c r="A111" s="305" t="s">
        <v>97</v>
      </c>
      <c r="B111" s="306">
        <v>1</v>
      </c>
      <c r="C111" s="424">
        <v>4</v>
      </c>
      <c r="D111" s="242">
        <v>663315</v>
      </c>
      <c r="E111" s="455">
        <f t="shared" si="1"/>
        <v>38.572743660579533</v>
      </c>
      <c r="F111" s="426">
        <f t="shared" si="2"/>
        <v>0.96431859151448829</v>
      </c>
    </row>
    <row r="112" spans="1:10" ht="26.25" customHeight="1" x14ac:dyDescent="0.4">
      <c r="A112" s="305" t="s">
        <v>98</v>
      </c>
      <c r="B112" s="306">
        <v>1</v>
      </c>
      <c r="C112" s="424">
        <v>5</v>
      </c>
      <c r="D112" s="242">
        <v>661911</v>
      </c>
      <c r="E112" s="455">
        <f t="shared" si="1"/>
        <v>38.491098993868462</v>
      </c>
      <c r="F112" s="426">
        <f t="shared" si="2"/>
        <v>0.96227747484671156</v>
      </c>
    </row>
    <row r="113" spans="1:10" ht="26.25" customHeight="1" x14ac:dyDescent="0.4">
      <c r="A113" s="305" t="s">
        <v>100</v>
      </c>
      <c r="B113" s="306">
        <v>1</v>
      </c>
      <c r="C113" s="427">
        <v>6</v>
      </c>
      <c r="D113" s="246">
        <v>661275</v>
      </c>
      <c r="E113" s="456">
        <f t="shared" si="1"/>
        <v>38.454114657666011</v>
      </c>
      <c r="F113" s="428">
        <f t="shared" si="2"/>
        <v>0.9613528664416503</v>
      </c>
    </row>
    <row r="114" spans="1:10" ht="26.25" customHeight="1" x14ac:dyDescent="0.4">
      <c r="A114" s="305" t="s">
        <v>101</v>
      </c>
      <c r="B114" s="306">
        <v>1</v>
      </c>
      <c r="C114" s="424"/>
      <c r="D114" s="405"/>
      <c r="E114" s="386"/>
      <c r="F114" s="429"/>
    </row>
    <row r="115" spans="1:10" ht="26.25" customHeight="1" x14ac:dyDescent="0.4">
      <c r="A115" s="305" t="s">
        <v>102</v>
      </c>
      <c r="B115" s="306">
        <v>1</v>
      </c>
      <c r="C115" s="424"/>
      <c r="D115" s="430" t="s">
        <v>71</v>
      </c>
      <c r="E115" s="458">
        <f>AVERAGE(E108:E113)</f>
        <v>38.443453554462998</v>
      </c>
      <c r="F115" s="431">
        <f>AVERAGE(F108:F113)</f>
        <v>0.96108633886157502</v>
      </c>
    </row>
    <row r="116" spans="1:10" ht="27" customHeight="1" thickBot="1" x14ac:dyDescent="0.45">
      <c r="A116" s="305" t="s">
        <v>103</v>
      </c>
      <c r="B116" s="337">
        <f>(B115/B114)*(B113/B112)*(B111/B110)*(B109/B108)*B107</f>
        <v>900</v>
      </c>
      <c r="C116" s="432"/>
      <c r="D116" s="397" t="s">
        <v>84</v>
      </c>
      <c r="E116" s="433">
        <f>STDEV(E108:E113)/E115</f>
        <v>4.7606794388124606E-3</v>
      </c>
      <c r="F116" s="433">
        <f>STDEV(F108:F113)/F115</f>
        <v>4.7606794388124719E-3</v>
      </c>
      <c r="I116" s="386"/>
    </row>
    <row r="117" spans="1:10" ht="27" customHeight="1" thickBot="1" x14ac:dyDescent="0.45">
      <c r="A117" s="533" t="s">
        <v>78</v>
      </c>
      <c r="B117" s="534"/>
      <c r="C117" s="434"/>
      <c r="D117" s="435" t="s">
        <v>20</v>
      </c>
      <c r="E117" s="436">
        <f>COUNT(E108:E113)</f>
        <v>6</v>
      </c>
      <c r="F117" s="436">
        <f>COUNT(F108:F113)</f>
        <v>6</v>
      </c>
      <c r="I117" s="386"/>
      <c r="J117" s="417"/>
    </row>
    <row r="118" spans="1:10" ht="19.5" customHeight="1" thickBot="1" x14ac:dyDescent="0.35">
      <c r="A118" s="535"/>
      <c r="B118" s="536"/>
      <c r="C118" s="386"/>
      <c r="D118" s="386"/>
      <c r="E118" s="386"/>
      <c r="F118" s="405"/>
      <c r="G118" s="386"/>
      <c r="H118" s="386"/>
      <c r="I118" s="386"/>
    </row>
    <row r="119" spans="1:10" ht="18.75" x14ac:dyDescent="0.3">
      <c r="A119" s="445"/>
      <c r="B119" s="301"/>
      <c r="C119" s="386"/>
      <c r="D119" s="386"/>
      <c r="E119" s="386"/>
      <c r="F119" s="405"/>
      <c r="G119" s="386"/>
      <c r="H119" s="386"/>
      <c r="I119" s="386"/>
    </row>
    <row r="120" spans="1:10" ht="26.25" customHeight="1" x14ac:dyDescent="0.4">
      <c r="A120" s="440" t="s">
        <v>106</v>
      </c>
      <c r="B120" s="397" t="s">
        <v>123</v>
      </c>
      <c r="C120" s="537" t="str">
        <f>B20</f>
        <v>Dihydroartemisinin , Piperaquine Phosphate</v>
      </c>
      <c r="D120" s="537"/>
      <c r="E120" s="386" t="s">
        <v>124</v>
      </c>
      <c r="F120" s="386"/>
      <c r="G120" s="387">
        <f>F115</f>
        <v>0.96108633886157502</v>
      </c>
      <c r="H120" s="386"/>
      <c r="I120" s="386"/>
    </row>
    <row r="121" spans="1:10" ht="19.5" customHeight="1" thickBot="1" x14ac:dyDescent="0.35">
      <c r="A121" s="516"/>
      <c r="B121" s="516"/>
      <c r="C121" s="438"/>
      <c r="D121" s="438"/>
      <c r="E121" s="438"/>
      <c r="F121" s="438"/>
      <c r="G121" s="438"/>
      <c r="H121" s="438"/>
    </row>
    <row r="122" spans="1:10" ht="18.75" x14ac:dyDescent="0.3">
      <c r="B122" s="538" t="s">
        <v>26</v>
      </c>
      <c r="C122" s="538"/>
      <c r="E122" s="515" t="s">
        <v>27</v>
      </c>
      <c r="F122" s="439"/>
      <c r="G122" s="538" t="s">
        <v>28</v>
      </c>
      <c r="H122" s="538"/>
    </row>
    <row r="123" spans="1:10" ht="69.95" customHeight="1" x14ac:dyDescent="0.3">
      <c r="A123" s="440" t="s">
        <v>29</v>
      </c>
      <c r="B123" s="442"/>
      <c r="C123" s="442" t="s">
        <v>129</v>
      </c>
      <c r="E123" s="442" t="s">
        <v>130</v>
      </c>
      <c r="F123" s="386"/>
      <c r="G123" s="442"/>
      <c r="H123" s="442"/>
    </row>
    <row r="124" spans="1:10" ht="69.95" customHeight="1" x14ac:dyDescent="0.3">
      <c r="A124" s="440" t="s">
        <v>30</v>
      </c>
      <c r="B124" s="443"/>
      <c r="C124" s="443"/>
      <c r="E124" s="443"/>
      <c r="F124" s="386"/>
      <c r="G124" s="444"/>
      <c r="H124" s="444"/>
    </row>
    <row r="125" spans="1:10" ht="18.75" x14ac:dyDescent="0.3">
      <c r="A125" s="405"/>
      <c r="B125" s="405"/>
      <c r="C125" s="405"/>
      <c r="D125" s="405"/>
      <c r="E125" s="405"/>
      <c r="F125" s="382"/>
      <c r="G125" s="405"/>
      <c r="H125" s="405"/>
      <c r="I125" s="386"/>
    </row>
    <row r="126" spans="1:10" ht="18.75" x14ac:dyDescent="0.3">
      <c r="A126" s="405"/>
      <c r="B126" s="405"/>
      <c r="C126" s="405"/>
      <c r="D126" s="405"/>
      <c r="E126" s="405"/>
      <c r="F126" s="382"/>
      <c r="G126" s="405"/>
      <c r="H126" s="405"/>
      <c r="I126" s="386"/>
    </row>
    <row r="127" spans="1:10" ht="18.75" x14ac:dyDescent="0.3">
      <c r="A127" s="405"/>
      <c r="B127" s="405"/>
      <c r="C127" s="405"/>
      <c r="D127" s="405"/>
      <c r="E127" s="405"/>
      <c r="F127" s="382"/>
      <c r="G127" s="405"/>
      <c r="H127" s="405"/>
      <c r="I127" s="386"/>
    </row>
    <row r="128" spans="1:10" ht="18.75" x14ac:dyDescent="0.3">
      <c r="A128" s="405"/>
      <c r="B128" s="405"/>
      <c r="C128" s="405"/>
      <c r="D128" s="405"/>
      <c r="E128" s="405"/>
      <c r="F128" s="382"/>
      <c r="G128" s="405"/>
      <c r="H128" s="405"/>
      <c r="I128" s="386"/>
    </row>
    <row r="129" spans="1:9" ht="18.75" x14ac:dyDescent="0.3">
      <c r="A129" s="405"/>
      <c r="B129" s="405"/>
      <c r="C129" s="405"/>
      <c r="D129" s="405"/>
      <c r="E129" s="405"/>
      <c r="F129" s="382"/>
      <c r="G129" s="405"/>
      <c r="H129" s="405"/>
      <c r="I129" s="386"/>
    </row>
    <row r="130" spans="1:9" ht="18.75" x14ac:dyDescent="0.3">
      <c r="A130" s="405"/>
      <c r="B130" s="405"/>
      <c r="C130" s="405"/>
      <c r="D130" s="405"/>
      <c r="E130" s="405"/>
      <c r="F130" s="382"/>
      <c r="G130" s="405"/>
      <c r="H130" s="405"/>
      <c r="I130" s="386"/>
    </row>
    <row r="131" spans="1:9" ht="18.75" x14ac:dyDescent="0.3">
      <c r="A131" s="405"/>
      <c r="B131" s="405"/>
      <c r="C131" s="405"/>
      <c r="D131" s="405"/>
      <c r="E131" s="405"/>
      <c r="F131" s="382"/>
      <c r="G131" s="405"/>
      <c r="H131" s="405"/>
      <c r="I131" s="386"/>
    </row>
    <row r="132" spans="1:9" ht="18.75" x14ac:dyDescent="0.3">
      <c r="A132" s="405"/>
      <c r="B132" s="405"/>
      <c r="C132" s="405"/>
      <c r="D132" s="405"/>
      <c r="E132" s="405"/>
      <c r="F132" s="382"/>
      <c r="G132" s="405"/>
      <c r="H132" s="405"/>
      <c r="I132" s="386"/>
    </row>
    <row r="133" spans="1:9" ht="18.75" x14ac:dyDescent="0.3">
      <c r="A133" s="405"/>
      <c r="B133" s="405"/>
      <c r="C133" s="405"/>
      <c r="D133" s="405"/>
      <c r="E133" s="405"/>
      <c r="F133" s="382"/>
      <c r="G133" s="405"/>
      <c r="H133" s="405"/>
      <c r="I133" s="386"/>
    </row>
    <row r="250" spans="1:1" x14ac:dyDescent="0.25">
      <c r="A250" s="408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I92:I93"/>
    <mergeCell ref="A99:B100"/>
    <mergeCell ref="A117:B118"/>
    <mergeCell ref="C120:D120"/>
    <mergeCell ref="B122:C122"/>
    <mergeCell ref="G122:H122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A90" zoomScale="55" zoomScaleNormal="55" zoomScaleSheetLayoutView="50" zoomScalePageLayoutView="55" workbookViewId="0">
      <selection activeCell="D108" sqref="D108:D11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31" t="s">
        <v>45</v>
      </c>
      <c r="B1" s="531"/>
      <c r="C1" s="531"/>
      <c r="D1" s="531"/>
      <c r="E1" s="531"/>
      <c r="F1" s="531"/>
      <c r="G1" s="531"/>
      <c r="H1" s="531"/>
      <c r="I1" s="531"/>
    </row>
    <row r="2" spans="1:9" ht="18.75" customHeight="1" x14ac:dyDescent="0.25">
      <c r="A2" s="531"/>
      <c r="B2" s="531"/>
      <c r="C2" s="531"/>
      <c r="D2" s="531"/>
      <c r="E2" s="531"/>
      <c r="F2" s="531"/>
      <c r="G2" s="531"/>
      <c r="H2" s="531"/>
      <c r="I2" s="531"/>
    </row>
    <row r="3" spans="1:9" ht="18.75" customHeight="1" x14ac:dyDescent="0.25">
      <c r="A3" s="531"/>
      <c r="B3" s="531"/>
      <c r="C3" s="531"/>
      <c r="D3" s="531"/>
      <c r="E3" s="531"/>
      <c r="F3" s="531"/>
      <c r="G3" s="531"/>
      <c r="H3" s="531"/>
      <c r="I3" s="531"/>
    </row>
    <row r="4" spans="1:9" ht="18.75" customHeight="1" x14ac:dyDescent="0.25">
      <c r="A4" s="531"/>
      <c r="B4" s="531"/>
      <c r="C4" s="531"/>
      <c r="D4" s="531"/>
      <c r="E4" s="531"/>
      <c r="F4" s="531"/>
      <c r="G4" s="531"/>
      <c r="H4" s="531"/>
      <c r="I4" s="531"/>
    </row>
    <row r="5" spans="1:9" ht="18.75" customHeight="1" x14ac:dyDescent="0.25">
      <c r="A5" s="531"/>
      <c r="B5" s="531"/>
      <c r="C5" s="531"/>
      <c r="D5" s="531"/>
      <c r="E5" s="531"/>
      <c r="F5" s="531"/>
      <c r="G5" s="531"/>
      <c r="H5" s="531"/>
      <c r="I5" s="531"/>
    </row>
    <row r="6" spans="1:9" ht="18.75" customHeight="1" x14ac:dyDescent="0.25">
      <c r="A6" s="531"/>
      <c r="B6" s="531"/>
      <c r="C6" s="531"/>
      <c r="D6" s="531"/>
      <c r="E6" s="531"/>
      <c r="F6" s="531"/>
      <c r="G6" s="531"/>
      <c r="H6" s="531"/>
      <c r="I6" s="531"/>
    </row>
    <row r="7" spans="1:9" ht="18.75" customHeight="1" x14ac:dyDescent="0.25">
      <c r="A7" s="531"/>
      <c r="B7" s="531"/>
      <c r="C7" s="531"/>
      <c r="D7" s="531"/>
      <c r="E7" s="531"/>
      <c r="F7" s="531"/>
      <c r="G7" s="531"/>
      <c r="H7" s="531"/>
      <c r="I7" s="531"/>
    </row>
    <row r="8" spans="1:9" x14ac:dyDescent="0.25">
      <c r="A8" s="532" t="s">
        <v>46</v>
      </c>
      <c r="B8" s="532"/>
      <c r="C8" s="532"/>
      <c r="D8" s="532"/>
      <c r="E8" s="532"/>
      <c r="F8" s="532"/>
      <c r="G8" s="532"/>
      <c r="H8" s="532"/>
      <c r="I8" s="532"/>
    </row>
    <row r="9" spans="1:9" x14ac:dyDescent="0.25">
      <c r="A9" s="532"/>
      <c r="B9" s="532"/>
      <c r="C9" s="532"/>
      <c r="D9" s="532"/>
      <c r="E9" s="532"/>
      <c r="F9" s="532"/>
      <c r="G9" s="532"/>
      <c r="H9" s="532"/>
      <c r="I9" s="532"/>
    </row>
    <row r="10" spans="1:9" x14ac:dyDescent="0.25">
      <c r="A10" s="532"/>
      <c r="B10" s="532"/>
      <c r="C10" s="532"/>
      <c r="D10" s="532"/>
      <c r="E10" s="532"/>
      <c r="F10" s="532"/>
      <c r="G10" s="532"/>
      <c r="H10" s="532"/>
      <c r="I10" s="532"/>
    </row>
    <row r="11" spans="1:9" x14ac:dyDescent="0.25">
      <c r="A11" s="532"/>
      <c r="B11" s="532"/>
      <c r="C11" s="532"/>
      <c r="D11" s="532"/>
      <c r="E11" s="532"/>
      <c r="F11" s="532"/>
      <c r="G11" s="532"/>
      <c r="H11" s="532"/>
      <c r="I11" s="532"/>
    </row>
    <row r="12" spans="1:9" x14ac:dyDescent="0.25">
      <c r="A12" s="532"/>
      <c r="B12" s="532"/>
      <c r="C12" s="532"/>
      <c r="D12" s="532"/>
      <c r="E12" s="532"/>
      <c r="F12" s="532"/>
      <c r="G12" s="532"/>
      <c r="H12" s="532"/>
      <c r="I12" s="532"/>
    </row>
    <row r="13" spans="1:9" x14ac:dyDescent="0.25">
      <c r="A13" s="532"/>
      <c r="B13" s="532"/>
      <c r="C13" s="532"/>
      <c r="D13" s="532"/>
      <c r="E13" s="532"/>
      <c r="F13" s="532"/>
      <c r="G13" s="532"/>
      <c r="H13" s="532"/>
      <c r="I13" s="532"/>
    </row>
    <row r="14" spans="1:9" x14ac:dyDescent="0.25">
      <c r="A14" s="532"/>
      <c r="B14" s="532"/>
      <c r="C14" s="532"/>
      <c r="D14" s="532"/>
      <c r="E14" s="532"/>
      <c r="F14" s="532"/>
      <c r="G14" s="532"/>
      <c r="H14" s="532"/>
      <c r="I14" s="532"/>
    </row>
    <row r="15" spans="1:9" ht="19.5" customHeight="1" x14ac:dyDescent="0.3">
      <c r="A15" s="279"/>
    </row>
    <row r="16" spans="1:9" ht="19.5" customHeight="1" x14ac:dyDescent="0.3">
      <c r="A16" s="565" t="s">
        <v>31</v>
      </c>
      <c r="B16" s="566"/>
      <c r="C16" s="566"/>
      <c r="D16" s="566"/>
      <c r="E16" s="566"/>
      <c r="F16" s="566"/>
      <c r="G16" s="566"/>
      <c r="H16" s="567"/>
    </row>
    <row r="17" spans="1:14" ht="20.25" customHeight="1" x14ac:dyDescent="0.25">
      <c r="A17" s="568" t="s">
        <v>47</v>
      </c>
      <c r="B17" s="568"/>
      <c r="C17" s="568"/>
      <c r="D17" s="568"/>
      <c r="E17" s="568"/>
      <c r="F17" s="568"/>
      <c r="G17" s="568"/>
      <c r="H17" s="568"/>
    </row>
    <row r="18" spans="1:14" ht="26.25" customHeight="1" x14ac:dyDescent="0.4">
      <c r="A18" s="281" t="s">
        <v>33</v>
      </c>
      <c r="B18" s="564" t="s">
        <v>5</v>
      </c>
      <c r="C18" s="564"/>
      <c r="D18" s="446"/>
      <c r="E18" s="282"/>
      <c r="F18" s="283"/>
      <c r="G18" s="283"/>
      <c r="H18" s="283"/>
    </row>
    <row r="19" spans="1:14" ht="26.25" customHeight="1" x14ac:dyDescent="0.4">
      <c r="A19" s="281" t="s">
        <v>34</v>
      </c>
      <c r="B19" s="284" t="s">
        <v>7</v>
      </c>
      <c r="C19" s="459">
        <v>29</v>
      </c>
      <c r="D19" s="283"/>
      <c r="E19" s="283"/>
      <c r="F19" s="283"/>
      <c r="G19" s="283"/>
      <c r="H19" s="283"/>
    </row>
    <row r="20" spans="1:14" ht="26.25" customHeight="1" x14ac:dyDescent="0.4">
      <c r="A20" s="281" t="s">
        <v>35</v>
      </c>
      <c r="B20" s="569" t="s">
        <v>9</v>
      </c>
      <c r="C20" s="569"/>
      <c r="D20" s="283"/>
      <c r="E20" s="283"/>
      <c r="F20" s="283"/>
      <c r="G20" s="283"/>
      <c r="H20" s="283"/>
    </row>
    <row r="21" spans="1:14" ht="26.25" customHeight="1" x14ac:dyDescent="0.4">
      <c r="A21" s="281" t="s">
        <v>36</v>
      </c>
      <c r="B21" s="569" t="s">
        <v>11</v>
      </c>
      <c r="C21" s="569"/>
      <c r="D21" s="569"/>
      <c r="E21" s="569"/>
      <c r="F21" s="569"/>
      <c r="G21" s="569"/>
      <c r="H21" s="569"/>
      <c r="I21" s="285"/>
    </row>
    <row r="22" spans="1:14" ht="26.25" customHeight="1" x14ac:dyDescent="0.4">
      <c r="A22" s="281" t="s">
        <v>37</v>
      </c>
      <c r="B22" s="286">
        <v>42311</v>
      </c>
      <c r="C22" s="283"/>
      <c r="D22" s="283"/>
      <c r="E22" s="283"/>
      <c r="F22" s="283"/>
      <c r="G22" s="283"/>
      <c r="H22" s="283"/>
    </row>
    <row r="23" spans="1:14" ht="26.25" customHeight="1" x14ac:dyDescent="0.4">
      <c r="A23" s="281" t="s">
        <v>38</v>
      </c>
      <c r="B23" s="286">
        <v>42317</v>
      </c>
      <c r="C23" s="283"/>
      <c r="D23" s="283"/>
      <c r="E23" s="283"/>
      <c r="F23" s="283"/>
      <c r="G23" s="283"/>
      <c r="H23" s="283"/>
    </row>
    <row r="24" spans="1:14" ht="18.75" x14ac:dyDescent="0.3">
      <c r="A24" s="281"/>
      <c r="B24" s="287"/>
    </row>
    <row r="25" spans="1:14" ht="18.75" x14ac:dyDescent="0.3">
      <c r="A25" s="288" t="s">
        <v>1</v>
      </c>
      <c r="B25" s="287"/>
    </row>
    <row r="26" spans="1:14" ht="26.25" customHeight="1" x14ac:dyDescent="0.4">
      <c r="A26" s="289" t="s">
        <v>4</v>
      </c>
      <c r="B26" s="560" t="s">
        <v>127</v>
      </c>
      <c r="C26" s="560"/>
    </row>
    <row r="27" spans="1:14" ht="26.25" customHeight="1" x14ac:dyDescent="0.4">
      <c r="A27" s="290" t="s">
        <v>48</v>
      </c>
      <c r="B27" s="560" t="s">
        <v>128</v>
      </c>
      <c r="C27" s="560"/>
    </row>
    <row r="28" spans="1:14" ht="27" customHeight="1" x14ac:dyDescent="0.4">
      <c r="A28" s="290" t="s">
        <v>6</v>
      </c>
      <c r="B28" s="389">
        <v>99.08</v>
      </c>
      <c r="C28" s="408"/>
    </row>
    <row r="29" spans="1:14" s="14" customFormat="1" ht="27" customHeight="1" x14ac:dyDescent="0.4">
      <c r="A29" s="290" t="s">
        <v>49</v>
      </c>
      <c r="B29" s="292">
        <v>0</v>
      </c>
      <c r="C29" s="539" t="s">
        <v>50</v>
      </c>
      <c r="D29" s="540"/>
      <c r="E29" s="540"/>
      <c r="F29" s="540"/>
      <c r="G29" s="541"/>
      <c r="I29" s="293"/>
      <c r="J29" s="293"/>
      <c r="K29" s="293"/>
      <c r="L29" s="293"/>
    </row>
    <row r="30" spans="1:14" s="14" customFormat="1" ht="19.5" customHeight="1" x14ac:dyDescent="0.3">
      <c r="A30" s="290" t="s">
        <v>51</v>
      </c>
      <c r="B30" s="294">
        <f>B28-B29</f>
        <v>99.08</v>
      </c>
      <c r="C30" s="295"/>
      <c r="D30" s="295"/>
      <c r="E30" s="295"/>
      <c r="F30" s="295"/>
      <c r="G30" s="296"/>
      <c r="I30" s="293"/>
      <c r="J30" s="293"/>
      <c r="K30" s="293"/>
      <c r="L30" s="293"/>
    </row>
    <row r="31" spans="1:14" s="14" customFormat="1" ht="27" customHeight="1" x14ac:dyDescent="0.4">
      <c r="A31" s="290" t="s">
        <v>52</v>
      </c>
      <c r="B31" s="297">
        <v>1</v>
      </c>
      <c r="C31" s="542" t="s">
        <v>53</v>
      </c>
      <c r="D31" s="543"/>
      <c r="E31" s="543"/>
      <c r="F31" s="543"/>
      <c r="G31" s="543"/>
      <c r="H31" s="544"/>
      <c r="I31" s="293"/>
      <c r="J31" s="293"/>
      <c r="K31" s="293"/>
      <c r="L31" s="293"/>
    </row>
    <row r="32" spans="1:14" s="14" customFormat="1" ht="27" customHeight="1" x14ac:dyDescent="0.4">
      <c r="A32" s="290" t="s">
        <v>54</v>
      </c>
      <c r="B32" s="297">
        <v>1</v>
      </c>
      <c r="C32" s="542" t="s">
        <v>55</v>
      </c>
      <c r="D32" s="543"/>
      <c r="E32" s="543"/>
      <c r="F32" s="543"/>
      <c r="G32" s="543"/>
      <c r="H32" s="544"/>
      <c r="I32" s="293"/>
      <c r="J32" s="293"/>
      <c r="K32" s="293"/>
      <c r="L32" s="298"/>
      <c r="M32" s="298"/>
      <c r="N32" s="299"/>
    </row>
    <row r="33" spans="1:14" s="14" customFormat="1" ht="17.25" customHeight="1" x14ac:dyDescent="0.3">
      <c r="A33" s="290"/>
      <c r="B33" s="300"/>
      <c r="C33" s="301"/>
      <c r="D33" s="301"/>
      <c r="E33" s="301"/>
      <c r="F33" s="301"/>
      <c r="G33" s="301"/>
      <c r="H33" s="301"/>
      <c r="I33" s="293"/>
      <c r="J33" s="293"/>
      <c r="K33" s="293"/>
      <c r="L33" s="298"/>
      <c r="M33" s="298"/>
      <c r="N33" s="299"/>
    </row>
    <row r="34" spans="1:14" s="14" customFormat="1" ht="18.75" x14ac:dyDescent="0.3">
      <c r="A34" s="290" t="s">
        <v>56</v>
      </c>
      <c r="B34" s="302">
        <f>B31/B32</f>
        <v>1</v>
      </c>
      <c r="C34" s="280" t="s">
        <v>57</v>
      </c>
      <c r="D34" s="280"/>
      <c r="E34" s="280"/>
      <c r="F34" s="280"/>
      <c r="G34" s="280"/>
      <c r="I34" s="293"/>
      <c r="J34" s="293"/>
      <c r="K34" s="293"/>
      <c r="L34" s="298"/>
      <c r="M34" s="298"/>
      <c r="N34" s="299"/>
    </row>
    <row r="35" spans="1:14" s="14" customFormat="1" ht="19.5" customHeight="1" x14ac:dyDescent="0.3">
      <c r="A35" s="290"/>
      <c r="B35" s="294"/>
      <c r="G35" s="280"/>
      <c r="I35" s="293"/>
      <c r="J35" s="293"/>
      <c r="K35" s="293"/>
      <c r="L35" s="298"/>
      <c r="M35" s="298"/>
      <c r="N35" s="299"/>
    </row>
    <row r="36" spans="1:14" s="14" customFormat="1" ht="27" customHeight="1" x14ac:dyDescent="0.4">
      <c r="A36" s="303" t="s">
        <v>58</v>
      </c>
      <c r="B36" s="304">
        <v>10</v>
      </c>
      <c r="C36" s="280"/>
      <c r="D36" s="545" t="s">
        <v>59</v>
      </c>
      <c r="E36" s="563"/>
      <c r="F36" s="545" t="s">
        <v>60</v>
      </c>
      <c r="G36" s="546"/>
      <c r="J36" s="293"/>
      <c r="K36" s="293"/>
      <c r="L36" s="298"/>
      <c r="M36" s="298"/>
      <c r="N36" s="299"/>
    </row>
    <row r="37" spans="1:14" s="14" customFormat="1" ht="27" customHeight="1" x14ac:dyDescent="0.4">
      <c r="A37" s="305" t="s">
        <v>61</v>
      </c>
      <c r="B37" s="306">
        <v>2</v>
      </c>
      <c r="C37" s="307" t="s">
        <v>62</v>
      </c>
      <c r="D37" s="308" t="s">
        <v>63</v>
      </c>
      <c r="E37" s="309" t="s">
        <v>64</v>
      </c>
      <c r="F37" s="308" t="s">
        <v>63</v>
      </c>
      <c r="G37" s="310" t="s">
        <v>64</v>
      </c>
      <c r="I37" s="311" t="s">
        <v>65</v>
      </c>
      <c r="J37" s="293"/>
      <c r="K37" s="293"/>
      <c r="L37" s="298"/>
      <c r="M37" s="298"/>
      <c r="N37" s="299"/>
    </row>
    <row r="38" spans="1:14" s="14" customFormat="1" ht="26.25" customHeight="1" x14ac:dyDescent="0.4">
      <c r="A38" s="305" t="s">
        <v>66</v>
      </c>
      <c r="B38" s="306">
        <v>100</v>
      </c>
      <c r="C38" s="312">
        <v>1</v>
      </c>
      <c r="D38" s="313">
        <v>21526422</v>
      </c>
      <c r="E38" s="314">
        <f>IF(ISBLANK(D38),"-",$D$48/$D$45*D38)</f>
        <v>20436264.782382399</v>
      </c>
      <c r="F38" s="313">
        <v>24251627</v>
      </c>
      <c r="G38" s="315">
        <f>IF(ISBLANK(F38),"-",$D$48/$F$45*F38)</f>
        <v>20386726.651461009</v>
      </c>
      <c r="I38" s="316"/>
      <c r="J38" s="293"/>
      <c r="K38" s="293"/>
      <c r="L38" s="298"/>
      <c r="M38" s="298"/>
      <c r="N38" s="299"/>
    </row>
    <row r="39" spans="1:14" s="14" customFormat="1" ht="26.25" customHeight="1" x14ac:dyDescent="0.4">
      <c r="A39" s="305" t="s">
        <v>67</v>
      </c>
      <c r="B39" s="306">
        <v>1</v>
      </c>
      <c r="C39" s="317">
        <v>2</v>
      </c>
      <c r="D39" s="318">
        <v>21582228</v>
      </c>
      <c r="E39" s="319">
        <f>IF(ISBLANK(D39),"-",$D$48/$D$45*D39)</f>
        <v>20489244.613050289</v>
      </c>
      <c r="F39" s="318">
        <v>24273028</v>
      </c>
      <c r="G39" s="320">
        <f>IF(ISBLANK(F39),"-",$D$48/$F$45*F39)</f>
        <v>20404717.045963939</v>
      </c>
      <c r="I39" s="547">
        <f>ABS((F43/D43*D42)-F42)/D42</f>
        <v>2.8496872841774004E-3</v>
      </c>
      <c r="J39" s="293"/>
      <c r="K39" s="293"/>
      <c r="L39" s="298"/>
      <c r="M39" s="298"/>
      <c r="N39" s="299"/>
    </row>
    <row r="40" spans="1:14" ht="26.25" customHeight="1" x14ac:dyDescent="0.4">
      <c r="A40" s="305" t="s">
        <v>68</v>
      </c>
      <c r="B40" s="306">
        <v>1</v>
      </c>
      <c r="C40" s="317">
        <v>3</v>
      </c>
      <c r="D40" s="318">
        <v>21515697</v>
      </c>
      <c r="E40" s="319">
        <f>IF(ISBLANK(D40),"-",$D$48/$D$45*D40)</f>
        <v>20426082.925881069</v>
      </c>
      <c r="F40" s="318">
        <v>24273767</v>
      </c>
      <c r="G40" s="320">
        <f>IF(ISBLANK(F40),"-",$D$48/$F$45*F40)</f>
        <v>20405338.274015792</v>
      </c>
      <c r="I40" s="547"/>
      <c r="L40" s="298"/>
      <c r="M40" s="298"/>
      <c r="N40" s="321"/>
    </row>
    <row r="41" spans="1:14" ht="27" customHeight="1" x14ac:dyDescent="0.4">
      <c r="A41" s="305" t="s">
        <v>69</v>
      </c>
      <c r="B41" s="306">
        <v>1</v>
      </c>
      <c r="C41" s="322">
        <v>4</v>
      </c>
      <c r="D41" s="323"/>
      <c r="E41" s="324" t="str">
        <f>IF(ISBLANK(D41),"-",$D$48/$D$45*D41)</f>
        <v>-</v>
      </c>
      <c r="F41" s="323"/>
      <c r="G41" s="325" t="str">
        <f>IF(ISBLANK(F41),"-",$D$48/$F$45*F41)</f>
        <v>-</v>
      </c>
      <c r="I41" s="326"/>
      <c r="L41" s="298"/>
      <c r="M41" s="298"/>
      <c r="N41" s="321"/>
    </row>
    <row r="42" spans="1:14" ht="27" customHeight="1" x14ac:dyDescent="0.4">
      <c r="A42" s="305" t="s">
        <v>70</v>
      </c>
      <c r="B42" s="306">
        <v>1</v>
      </c>
      <c r="C42" s="327" t="s">
        <v>71</v>
      </c>
      <c r="D42" s="328">
        <f>AVERAGE(D38:D41)</f>
        <v>21541449</v>
      </c>
      <c r="E42" s="329">
        <f>AVERAGE(E38:E41)</f>
        <v>20450530.773771252</v>
      </c>
      <c r="F42" s="328">
        <f>AVERAGE(F38:F41)</f>
        <v>24266140.666666668</v>
      </c>
      <c r="G42" s="330">
        <f>AVERAGE(G38:G41)</f>
        <v>20398927.32381358</v>
      </c>
      <c r="H42" s="331"/>
    </row>
    <row r="43" spans="1:14" ht="26.25" customHeight="1" x14ac:dyDescent="0.4">
      <c r="A43" s="305" t="s">
        <v>72</v>
      </c>
      <c r="B43" s="306">
        <v>1</v>
      </c>
      <c r="C43" s="332" t="s">
        <v>73</v>
      </c>
      <c r="D43" s="333">
        <v>17.010000000000002</v>
      </c>
      <c r="E43" s="321"/>
      <c r="F43" s="333">
        <v>19.21</v>
      </c>
      <c r="H43" s="331"/>
    </row>
    <row r="44" spans="1:14" ht="26.25" customHeight="1" x14ac:dyDescent="0.4">
      <c r="A44" s="305" t="s">
        <v>74</v>
      </c>
      <c r="B44" s="306">
        <v>1</v>
      </c>
      <c r="C44" s="334" t="s">
        <v>75</v>
      </c>
      <c r="D44" s="335">
        <f>D43*$B$34</f>
        <v>17.010000000000002</v>
      </c>
      <c r="E44" s="336"/>
      <c r="F44" s="335">
        <f>F43*$B$34</f>
        <v>19.21</v>
      </c>
      <c r="H44" s="331"/>
    </row>
    <row r="45" spans="1:14" ht="19.5" customHeight="1" x14ac:dyDescent="0.3">
      <c r="A45" s="305" t="s">
        <v>76</v>
      </c>
      <c r="B45" s="337">
        <f>(B44/B43)*(B42/B41)*(B40/B39)*(B38/B37)*B36</f>
        <v>500</v>
      </c>
      <c r="C45" s="334" t="s">
        <v>77</v>
      </c>
      <c r="D45" s="338">
        <f>D44*$B$30/100</f>
        <v>16.853508000000001</v>
      </c>
      <c r="E45" s="339"/>
      <c r="F45" s="338">
        <f>F44*$B$30/100</f>
        <v>19.033268</v>
      </c>
      <c r="H45" s="331"/>
    </row>
    <row r="46" spans="1:14" ht="19.5" customHeight="1" x14ac:dyDescent="0.3">
      <c r="A46" s="533" t="s">
        <v>78</v>
      </c>
      <c r="B46" s="534"/>
      <c r="C46" s="334" t="s">
        <v>79</v>
      </c>
      <c r="D46" s="340">
        <f>D45/$B$45</f>
        <v>3.3707016000000006E-2</v>
      </c>
      <c r="E46" s="341"/>
      <c r="F46" s="342">
        <f>F45/$B$45</f>
        <v>3.8066535999999998E-2</v>
      </c>
      <c r="H46" s="331"/>
    </row>
    <row r="47" spans="1:14" ht="27" customHeight="1" x14ac:dyDescent="0.4">
      <c r="A47" s="535"/>
      <c r="B47" s="536"/>
      <c r="C47" s="343" t="s">
        <v>80</v>
      </c>
      <c r="D47" s="344">
        <v>3.2000000000000001E-2</v>
      </c>
      <c r="E47" s="345"/>
      <c r="F47" s="341"/>
      <c r="H47" s="331"/>
    </row>
    <row r="48" spans="1:14" ht="18.75" x14ac:dyDescent="0.3">
      <c r="C48" s="346" t="s">
        <v>81</v>
      </c>
      <c r="D48" s="338">
        <f>D47*$B$45</f>
        <v>16</v>
      </c>
      <c r="F48" s="347"/>
      <c r="H48" s="331"/>
    </row>
    <row r="49" spans="1:12" ht="19.5" customHeight="1" x14ac:dyDescent="0.3">
      <c r="C49" s="348" t="s">
        <v>82</v>
      </c>
      <c r="D49" s="349">
        <f>D48/B34</f>
        <v>16</v>
      </c>
      <c r="F49" s="347"/>
      <c r="H49" s="331"/>
    </row>
    <row r="50" spans="1:12" ht="18.75" x14ac:dyDescent="0.3">
      <c r="C50" s="303" t="s">
        <v>83</v>
      </c>
      <c r="D50" s="350">
        <f>AVERAGE(E38:E41,G38:G41)</f>
        <v>20424729.048792418</v>
      </c>
      <c r="F50" s="351"/>
      <c r="H50" s="331"/>
    </row>
    <row r="51" spans="1:12" ht="18.75" x14ac:dyDescent="0.3">
      <c r="C51" s="305" t="s">
        <v>84</v>
      </c>
      <c r="D51" s="352">
        <f>STDEV(E38:E41,G38:G41)/D50</f>
        <v>1.7677065345759161E-3</v>
      </c>
      <c r="F51" s="351"/>
      <c r="H51" s="331"/>
    </row>
    <row r="52" spans="1:12" ht="19.5" customHeight="1" x14ac:dyDescent="0.3">
      <c r="C52" s="353" t="s">
        <v>20</v>
      </c>
      <c r="D52" s="354">
        <f>COUNT(E38:E41,G38:G41)</f>
        <v>6</v>
      </c>
      <c r="F52" s="351"/>
    </row>
    <row r="54" spans="1:12" ht="18.75" x14ac:dyDescent="0.3">
      <c r="A54" s="355" t="s">
        <v>1</v>
      </c>
      <c r="B54" s="356" t="s">
        <v>85</v>
      </c>
    </row>
    <row r="55" spans="1:12" ht="18.75" x14ac:dyDescent="0.3">
      <c r="A55" s="280" t="s">
        <v>86</v>
      </c>
      <c r="B55" s="357" t="str">
        <f>B21</f>
        <v>each tablets contains dihydroartemesinin 40mg,piperaquine phosphate 320mg.</v>
      </c>
    </row>
    <row r="56" spans="1:12" ht="26.25" customHeight="1" x14ac:dyDescent="0.4">
      <c r="A56" s="358" t="s">
        <v>87</v>
      </c>
      <c r="B56" s="359">
        <v>320</v>
      </c>
      <c r="C56" s="280" t="str">
        <f>B20</f>
        <v>Dihydroartemisinin , Piperaquine Phosphate</v>
      </c>
      <c r="H56" s="360"/>
    </row>
    <row r="57" spans="1:12" ht="18.75" x14ac:dyDescent="0.3">
      <c r="A57" s="357" t="s">
        <v>88</v>
      </c>
      <c r="B57" s="447">
        <f>Uniformity!C46</f>
        <v>601.79149999999993</v>
      </c>
      <c r="H57" s="360"/>
    </row>
    <row r="58" spans="1:12" ht="19.5" customHeight="1" x14ac:dyDescent="0.3">
      <c r="H58" s="360"/>
    </row>
    <row r="59" spans="1:12" s="14" customFormat="1" ht="27" customHeight="1" x14ac:dyDescent="0.4">
      <c r="A59" s="303" t="s">
        <v>89</v>
      </c>
      <c r="B59" s="304">
        <v>100</v>
      </c>
      <c r="C59" s="280"/>
      <c r="D59" s="361" t="s">
        <v>90</v>
      </c>
      <c r="E59" s="362" t="s">
        <v>62</v>
      </c>
      <c r="F59" s="362" t="s">
        <v>63</v>
      </c>
      <c r="G59" s="362" t="s">
        <v>91</v>
      </c>
      <c r="H59" s="307" t="s">
        <v>92</v>
      </c>
      <c r="L59" s="293"/>
    </row>
    <row r="60" spans="1:12" s="14" customFormat="1" ht="26.25" customHeight="1" x14ac:dyDescent="0.4">
      <c r="A60" s="305" t="s">
        <v>93</v>
      </c>
      <c r="B60" s="306">
        <v>2</v>
      </c>
      <c r="C60" s="550" t="s">
        <v>94</v>
      </c>
      <c r="D60" s="553">
        <v>302.52</v>
      </c>
      <c r="E60" s="363">
        <v>1</v>
      </c>
      <c r="F60" s="364">
        <v>21547147</v>
      </c>
      <c r="G60" s="448">
        <f>IF(ISBLANK(F60),"-",(F60/$D$50*$D$47*$B$68)*($B$57/$D$60))</f>
        <v>335.77272152402276</v>
      </c>
      <c r="H60" s="365">
        <f t="shared" ref="H60:H71" si="0">IF(ISBLANK(F60),"-",G60/$B$56)</f>
        <v>1.049289754762571</v>
      </c>
      <c r="L60" s="293"/>
    </row>
    <row r="61" spans="1:12" s="14" customFormat="1" ht="26.25" customHeight="1" x14ac:dyDescent="0.4">
      <c r="A61" s="305" t="s">
        <v>95</v>
      </c>
      <c r="B61" s="306">
        <v>100</v>
      </c>
      <c r="C61" s="551"/>
      <c r="D61" s="554"/>
      <c r="E61" s="366">
        <v>2</v>
      </c>
      <c r="F61" s="318">
        <v>21541968</v>
      </c>
      <c r="G61" s="449">
        <f>IF(ISBLANK(F61),"-",(F61/$D$50*$D$47*$B$68)*($B$57/$D$60))</f>
        <v>335.69201631860625</v>
      </c>
      <c r="H61" s="367">
        <f t="shared" si="0"/>
        <v>1.0490375509956444</v>
      </c>
      <c r="L61" s="293"/>
    </row>
    <row r="62" spans="1:12" s="14" customFormat="1" ht="26.25" customHeight="1" x14ac:dyDescent="0.4">
      <c r="A62" s="305" t="s">
        <v>96</v>
      </c>
      <c r="B62" s="306">
        <v>1</v>
      </c>
      <c r="C62" s="551"/>
      <c r="D62" s="554"/>
      <c r="E62" s="366">
        <v>3</v>
      </c>
      <c r="F62" s="368">
        <v>21498646</v>
      </c>
      <c r="G62" s="449">
        <f>IF(ISBLANK(F62),"-",(F62/$D$50*$D$47*$B$68)*($B$57/$D$60))</f>
        <v>335.01692249565781</v>
      </c>
      <c r="H62" s="367">
        <f t="shared" si="0"/>
        <v>1.0469278827989306</v>
      </c>
      <c r="L62" s="293"/>
    </row>
    <row r="63" spans="1:12" ht="27" customHeight="1" x14ac:dyDescent="0.4">
      <c r="A63" s="305" t="s">
        <v>97</v>
      </c>
      <c r="B63" s="306">
        <v>1</v>
      </c>
      <c r="C63" s="561"/>
      <c r="D63" s="555"/>
      <c r="E63" s="369">
        <v>4</v>
      </c>
      <c r="F63" s="370"/>
      <c r="G63" s="449" t="str">
        <f>IF(ISBLANK(F63),"-",(F63/$D$50*$D$47*$B$68)*($B$57/$D$60))</f>
        <v>-</v>
      </c>
      <c r="H63" s="367" t="str">
        <f t="shared" si="0"/>
        <v>-</v>
      </c>
    </row>
    <row r="64" spans="1:12" ht="26.25" customHeight="1" x14ac:dyDescent="0.4">
      <c r="A64" s="305" t="s">
        <v>98</v>
      </c>
      <c r="B64" s="306">
        <v>1</v>
      </c>
      <c r="C64" s="550" t="s">
        <v>99</v>
      </c>
      <c r="D64" s="553">
        <v>304.35000000000002</v>
      </c>
      <c r="E64" s="363">
        <v>1</v>
      </c>
      <c r="F64" s="364">
        <v>21967199</v>
      </c>
      <c r="G64" s="450">
        <f>IF(ISBLANK(F64),"-",(F64/$D$50*$D$47*$B$68)*($B$57/$D$64))</f>
        <v>340.2601633532031</v>
      </c>
      <c r="H64" s="371">
        <f t="shared" si="0"/>
        <v>1.0633130104787596</v>
      </c>
    </row>
    <row r="65" spans="1:8" ht="26.25" customHeight="1" x14ac:dyDescent="0.4">
      <c r="A65" s="305" t="s">
        <v>100</v>
      </c>
      <c r="B65" s="306">
        <v>1</v>
      </c>
      <c r="C65" s="551"/>
      <c r="D65" s="554"/>
      <c r="E65" s="366">
        <v>2</v>
      </c>
      <c r="F65" s="318">
        <v>21935455</v>
      </c>
      <c r="G65" s="451">
        <f>IF(ISBLANK(F65),"-",(F65/$D$50*$D$47*$B$68)*($B$57/$D$64))</f>
        <v>339.76846577148211</v>
      </c>
      <c r="H65" s="372">
        <f t="shared" si="0"/>
        <v>1.0617764555358815</v>
      </c>
    </row>
    <row r="66" spans="1:8" ht="26.25" customHeight="1" x14ac:dyDescent="0.4">
      <c r="A66" s="305" t="s">
        <v>101</v>
      </c>
      <c r="B66" s="306">
        <v>1</v>
      </c>
      <c r="C66" s="551"/>
      <c r="D66" s="554"/>
      <c r="E66" s="366">
        <v>3</v>
      </c>
      <c r="F66" s="318">
        <v>21965800</v>
      </c>
      <c r="G66" s="451">
        <f>IF(ISBLANK(F66),"-",(F66/$D$50*$D$47*$B$68)*($B$57/$D$64))</f>
        <v>340.23849359145828</v>
      </c>
      <c r="H66" s="372">
        <f t="shared" si="0"/>
        <v>1.0632452924733071</v>
      </c>
    </row>
    <row r="67" spans="1:8" ht="27" customHeight="1" x14ac:dyDescent="0.4">
      <c r="A67" s="305" t="s">
        <v>102</v>
      </c>
      <c r="B67" s="306">
        <v>1</v>
      </c>
      <c r="C67" s="561"/>
      <c r="D67" s="555"/>
      <c r="E67" s="369">
        <v>4</v>
      </c>
      <c r="F67" s="370"/>
      <c r="G67" s="452" t="str">
        <f>IF(ISBLANK(F67),"-",(F67/$D$50*$D$47*$B$68)*($B$57/$D$64))</f>
        <v>-</v>
      </c>
      <c r="H67" s="373" t="str">
        <f t="shared" si="0"/>
        <v>-</v>
      </c>
    </row>
    <row r="68" spans="1:8" ht="26.25" customHeight="1" x14ac:dyDescent="0.4">
      <c r="A68" s="305" t="s">
        <v>103</v>
      </c>
      <c r="B68" s="374">
        <f>(B67/B66)*(B65/B64)*(B63/B62)*(B61/B60)*B59</f>
        <v>5000</v>
      </c>
      <c r="C68" s="550" t="s">
        <v>104</v>
      </c>
      <c r="D68" s="553">
        <v>302.48</v>
      </c>
      <c r="E68" s="363">
        <v>1</v>
      </c>
      <c r="F68" s="364">
        <v>21336608</v>
      </c>
      <c r="G68" s="450">
        <f>IF(ISBLANK(F68),"-",(F68/$D$50*$D$47*$B$68)*($B$57/$D$68))</f>
        <v>332.5358265693427</v>
      </c>
      <c r="H68" s="367">
        <f t="shared" si="0"/>
        <v>1.0391744580291959</v>
      </c>
    </row>
    <row r="69" spans="1:8" ht="27" customHeight="1" x14ac:dyDescent="0.4">
      <c r="A69" s="353" t="s">
        <v>105</v>
      </c>
      <c r="B69" s="375">
        <f>(D47*B68)/B56*B57</f>
        <v>300.89574999999996</v>
      </c>
      <c r="C69" s="551"/>
      <c r="D69" s="554"/>
      <c r="E69" s="366">
        <v>2</v>
      </c>
      <c r="F69" s="318">
        <v>21380288</v>
      </c>
      <c r="G69" s="451">
        <f>IF(ISBLANK(F69),"-",(F69/$D$50*$D$47*$B$68)*($B$57/$D$68))</f>
        <v>333.21658917718321</v>
      </c>
      <c r="H69" s="367">
        <f t="shared" si="0"/>
        <v>1.0413018411786976</v>
      </c>
    </row>
    <row r="70" spans="1:8" ht="26.25" customHeight="1" x14ac:dyDescent="0.4">
      <c r="A70" s="556" t="s">
        <v>78</v>
      </c>
      <c r="B70" s="557"/>
      <c r="C70" s="551"/>
      <c r="D70" s="554"/>
      <c r="E70" s="366">
        <v>3</v>
      </c>
      <c r="F70" s="318">
        <v>21385644</v>
      </c>
      <c r="G70" s="451">
        <f>IF(ISBLANK(F70),"-",(F70/$D$50*$D$47*$B$68)*($B$57/$D$68))</f>
        <v>333.3000636398113</v>
      </c>
      <c r="H70" s="367">
        <f t="shared" si="0"/>
        <v>1.0415626988744102</v>
      </c>
    </row>
    <row r="71" spans="1:8" ht="27" customHeight="1" x14ac:dyDescent="0.4">
      <c r="A71" s="558"/>
      <c r="B71" s="559"/>
      <c r="C71" s="552"/>
      <c r="D71" s="555"/>
      <c r="E71" s="369">
        <v>4</v>
      </c>
      <c r="F71" s="370"/>
      <c r="G71" s="452" t="str">
        <f>IF(ISBLANK(F71),"-",(F71/$D$50*$D$47*$B$68)*($B$57/$D$68))</f>
        <v>-</v>
      </c>
      <c r="H71" s="376" t="str">
        <f t="shared" si="0"/>
        <v>-</v>
      </c>
    </row>
    <row r="72" spans="1:8" ht="26.25" customHeight="1" x14ac:dyDescent="0.4">
      <c r="A72" s="377"/>
      <c r="B72" s="377"/>
      <c r="C72" s="377"/>
      <c r="D72" s="377"/>
      <c r="E72" s="377"/>
      <c r="F72" s="379" t="s">
        <v>71</v>
      </c>
      <c r="G72" s="457">
        <f>AVERAGE(G60:G71)</f>
        <v>336.20014027119646</v>
      </c>
      <c r="H72" s="380">
        <f>AVERAGE(H60:H71)</f>
        <v>1.0506254383474887</v>
      </c>
    </row>
    <row r="73" spans="1:8" ht="26.25" customHeight="1" x14ac:dyDescent="0.4">
      <c r="C73" s="377"/>
      <c r="D73" s="377"/>
      <c r="E73" s="377"/>
      <c r="F73" s="381" t="s">
        <v>84</v>
      </c>
      <c r="G73" s="453">
        <f>STDEV(G60:G71)/G72</f>
        <v>9.2938764390210135E-3</v>
      </c>
      <c r="H73" s="453">
        <f>STDEV(H60:H71)/H72</f>
        <v>9.2938764390209979E-3</v>
      </c>
    </row>
    <row r="74" spans="1:8" ht="27" customHeight="1" x14ac:dyDescent="0.4">
      <c r="A74" s="377"/>
      <c r="B74" s="377"/>
      <c r="C74" s="378"/>
      <c r="D74" s="378"/>
      <c r="E74" s="382"/>
      <c r="F74" s="383" t="s">
        <v>20</v>
      </c>
      <c r="G74" s="384">
        <f>COUNT(G60:G71)</f>
        <v>9</v>
      </c>
      <c r="H74" s="384">
        <f>COUNT(H60:H71)</f>
        <v>9</v>
      </c>
    </row>
    <row r="76" spans="1:8" ht="26.25" customHeight="1" x14ac:dyDescent="0.4">
      <c r="A76" s="289" t="s">
        <v>106</v>
      </c>
      <c r="B76" s="385" t="s">
        <v>107</v>
      </c>
      <c r="C76" s="537" t="str">
        <f>B20</f>
        <v>Dihydroartemisinin , Piperaquine Phosphate</v>
      </c>
      <c r="D76" s="537"/>
      <c r="E76" s="386" t="s">
        <v>108</v>
      </c>
      <c r="F76" s="386"/>
      <c r="G76" s="387">
        <f>H72</f>
        <v>1.0506254383474887</v>
      </c>
      <c r="H76" s="388"/>
    </row>
    <row r="77" spans="1:8" ht="18.75" x14ac:dyDescent="0.3">
      <c r="A77" s="288" t="s">
        <v>109</v>
      </c>
      <c r="B77" s="288" t="s">
        <v>110</v>
      </c>
    </row>
    <row r="78" spans="1:8" ht="18.75" x14ac:dyDescent="0.3">
      <c r="A78" s="288"/>
      <c r="B78" s="288"/>
    </row>
    <row r="79" spans="1:8" ht="26.25" customHeight="1" x14ac:dyDescent="0.4">
      <c r="A79" s="289" t="s">
        <v>4</v>
      </c>
      <c r="B79" s="560" t="str">
        <f>B26</f>
        <v>Piperaquine Phopshate</v>
      </c>
      <c r="C79" s="560"/>
    </row>
    <row r="80" spans="1:8" ht="26.25" customHeight="1" x14ac:dyDescent="0.4">
      <c r="A80" s="290" t="s">
        <v>48</v>
      </c>
      <c r="B80" s="560" t="str">
        <f>B27</f>
        <v>P9-3</v>
      </c>
      <c r="C80" s="560"/>
    </row>
    <row r="81" spans="1:12" ht="27" customHeight="1" x14ac:dyDescent="0.4">
      <c r="A81" s="290" t="s">
        <v>6</v>
      </c>
      <c r="B81" s="389">
        <f>B28</f>
        <v>99.08</v>
      </c>
    </row>
    <row r="82" spans="1:12" s="14" customFormat="1" ht="27" customHeight="1" x14ac:dyDescent="0.4">
      <c r="A82" s="290" t="s">
        <v>49</v>
      </c>
      <c r="B82" s="292">
        <v>0</v>
      </c>
      <c r="C82" s="539" t="s">
        <v>50</v>
      </c>
      <c r="D82" s="540"/>
      <c r="E82" s="540"/>
      <c r="F82" s="540"/>
      <c r="G82" s="541"/>
      <c r="I82" s="293"/>
      <c r="J82" s="293"/>
      <c r="K82" s="293"/>
      <c r="L82" s="293"/>
    </row>
    <row r="83" spans="1:12" s="14" customFormat="1" ht="19.5" customHeight="1" x14ac:dyDescent="0.3">
      <c r="A83" s="290" t="s">
        <v>51</v>
      </c>
      <c r="B83" s="294">
        <f>B81-B82</f>
        <v>99.08</v>
      </c>
      <c r="C83" s="295"/>
      <c r="D83" s="295"/>
      <c r="E83" s="295"/>
      <c r="F83" s="295"/>
      <c r="G83" s="296"/>
      <c r="I83" s="293"/>
      <c r="J83" s="293"/>
      <c r="K83" s="293"/>
      <c r="L83" s="293"/>
    </row>
    <row r="84" spans="1:12" s="14" customFormat="1" ht="27" customHeight="1" x14ac:dyDescent="0.4">
      <c r="A84" s="290" t="s">
        <v>52</v>
      </c>
      <c r="B84" s="297">
        <v>1</v>
      </c>
      <c r="C84" s="542" t="s">
        <v>111</v>
      </c>
      <c r="D84" s="543"/>
      <c r="E84" s="543"/>
      <c r="F84" s="543"/>
      <c r="G84" s="543"/>
      <c r="H84" s="544"/>
      <c r="I84" s="293"/>
      <c r="J84" s="293"/>
      <c r="K84" s="293"/>
      <c r="L84" s="293"/>
    </row>
    <row r="85" spans="1:12" s="14" customFormat="1" ht="27" customHeight="1" x14ac:dyDescent="0.4">
      <c r="A85" s="290" t="s">
        <v>54</v>
      </c>
      <c r="B85" s="297">
        <v>1</v>
      </c>
      <c r="C85" s="542" t="s">
        <v>112</v>
      </c>
      <c r="D85" s="543"/>
      <c r="E85" s="543"/>
      <c r="F85" s="543"/>
      <c r="G85" s="543"/>
      <c r="H85" s="544"/>
      <c r="I85" s="293"/>
      <c r="J85" s="293"/>
      <c r="K85" s="293"/>
      <c r="L85" s="293"/>
    </row>
    <row r="86" spans="1:12" s="14" customFormat="1" ht="18.75" x14ac:dyDescent="0.3">
      <c r="A86" s="290"/>
      <c r="B86" s="300"/>
      <c r="C86" s="301"/>
      <c r="D86" s="301"/>
      <c r="E86" s="301"/>
      <c r="F86" s="301"/>
      <c r="G86" s="301"/>
      <c r="H86" s="301"/>
      <c r="I86" s="293"/>
      <c r="J86" s="293"/>
      <c r="K86" s="293"/>
      <c r="L86" s="293"/>
    </row>
    <row r="87" spans="1:12" s="14" customFormat="1" ht="18.75" x14ac:dyDescent="0.3">
      <c r="A87" s="290" t="s">
        <v>56</v>
      </c>
      <c r="B87" s="302">
        <f>B84/B85</f>
        <v>1</v>
      </c>
      <c r="C87" s="280" t="s">
        <v>57</v>
      </c>
      <c r="D87" s="280"/>
      <c r="E87" s="280"/>
      <c r="F87" s="280"/>
      <c r="G87" s="280"/>
      <c r="I87" s="293"/>
      <c r="J87" s="293"/>
      <c r="K87" s="293"/>
      <c r="L87" s="293"/>
    </row>
    <row r="88" spans="1:12" ht="19.5" customHeight="1" x14ac:dyDescent="0.3">
      <c r="A88" s="288"/>
      <c r="B88" s="288"/>
    </row>
    <row r="89" spans="1:12" ht="27" customHeight="1" x14ac:dyDescent="0.4">
      <c r="A89" s="303" t="s">
        <v>58</v>
      </c>
      <c r="B89" s="304">
        <v>100</v>
      </c>
      <c r="D89" s="390" t="s">
        <v>59</v>
      </c>
      <c r="E89" s="391"/>
      <c r="F89" s="545" t="s">
        <v>60</v>
      </c>
      <c r="G89" s="546"/>
    </row>
    <row r="90" spans="1:12" ht="27" customHeight="1" x14ac:dyDescent="0.4">
      <c r="A90" s="305" t="s">
        <v>61</v>
      </c>
      <c r="B90" s="306">
        <v>4</v>
      </c>
      <c r="C90" s="392" t="s">
        <v>62</v>
      </c>
      <c r="D90" s="308" t="s">
        <v>63</v>
      </c>
      <c r="E90" s="309" t="s">
        <v>64</v>
      </c>
      <c r="F90" s="308" t="s">
        <v>63</v>
      </c>
      <c r="G90" s="393" t="s">
        <v>64</v>
      </c>
      <c r="I90" s="311" t="s">
        <v>65</v>
      </c>
    </row>
    <row r="91" spans="1:12" ht="26.25" customHeight="1" x14ac:dyDescent="0.4">
      <c r="A91" s="305" t="s">
        <v>66</v>
      </c>
      <c r="B91" s="306">
        <v>50</v>
      </c>
      <c r="C91" s="394">
        <v>1</v>
      </c>
      <c r="D91" s="460">
        <v>0.4914</v>
      </c>
      <c r="E91" s="314">
        <f>IF(ISBLANK(D91),"-",$D$101/$D$98*D91)</f>
        <v>0.59374528490394463</v>
      </c>
      <c r="F91" s="460">
        <v>0.48409999999999997</v>
      </c>
      <c r="G91" s="315">
        <f>IF(ISBLANK(F91),"-",$D$101/$F$98*F91)</f>
        <v>0.60827273537145532</v>
      </c>
      <c r="I91" s="316"/>
    </row>
    <row r="92" spans="1:12" ht="26.25" customHeight="1" x14ac:dyDescent="0.4">
      <c r="A92" s="305" t="s">
        <v>67</v>
      </c>
      <c r="B92" s="306">
        <v>1</v>
      </c>
      <c r="C92" s="378">
        <v>2</v>
      </c>
      <c r="D92" s="461">
        <v>0.49370000000000003</v>
      </c>
      <c r="E92" s="319">
        <f>IF(ISBLANK(D92),"-",$D$101/$D$98*D92)</f>
        <v>0.5965243124889652</v>
      </c>
      <c r="F92" s="461">
        <v>0.48520000000000002</v>
      </c>
      <c r="G92" s="320">
        <f>IF(ISBLANK(F92),"-",$D$101/$F$98*F92)</f>
        <v>0.60965488783769917</v>
      </c>
      <c r="I92" s="547">
        <f>ABS((F96/D96*D95)-F95)/D95</f>
        <v>2.2414153717442379E-2</v>
      </c>
    </row>
    <row r="93" spans="1:12" ht="26.25" customHeight="1" x14ac:dyDescent="0.4">
      <c r="A93" s="305" t="s">
        <v>68</v>
      </c>
      <c r="B93" s="306">
        <v>1</v>
      </c>
      <c r="C93" s="378">
        <v>3</v>
      </c>
      <c r="D93" s="461">
        <v>0.49270000000000003</v>
      </c>
      <c r="E93" s="319">
        <f>IF(ISBLANK(D93),"-",$D$101/$D$98*D93)</f>
        <v>0.59531603962591284</v>
      </c>
      <c r="F93" s="461">
        <v>0.4849</v>
      </c>
      <c r="G93" s="320">
        <f>IF(ISBLANK(F93),"-",$D$101/$F$98*F93)</f>
        <v>0.60927793716508716</v>
      </c>
      <c r="I93" s="547"/>
    </row>
    <row r="94" spans="1:12" ht="27" customHeight="1" x14ac:dyDescent="0.4">
      <c r="A94" s="305" t="s">
        <v>69</v>
      </c>
      <c r="B94" s="306">
        <v>1</v>
      </c>
      <c r="C94" s="395">
        <v>4</v>
      </c>
      <c r="D94" s="323"/>
      <c r="E94" s="324" t="str">
        <f>IF(ISBLANK(D94),"-",$D$101/$D$98*D94)</f>
        <v>-</v>
      </c>
      <c r="F94" s="396"/>
      <c r="G94" s="325" t="str">
        <f>IF(ISBLANK(F94),"-",$D$101/$F$98*F94)</f>
        <v>-</v>
      </c>
      <c r="I94" s="326"/>
    </row>
    <row r="95" spans="1:12" ht="27" customHeight="1" x14ac:dyDescent="0.4">
      <c r="A95" s="305" t="s">
        <v>70</v>
      </c>
      <c r="B95" s="306">
        <v>1</v>
      </c>
      <c r="C95" s="397" t="s">
        <v>71</v>
      </c>
      <c r="D95" s="398">
        <f>AVERAGE(D91:D94)</f>
        <v>0.49260000000000009</v>
      </c>
      <c r="E95" s="329">
        <f>AVERAGE(E91:E94)</f>
        <v>0.59519521233960759</v>
      </c>
      <c r="F95" s="399">
        <f>AVERAGE(F91:F94)</f>
        <v>0.4847333333333334</v>
      </c>
      <c r="G95" s="400">
        <f>AVERAGE(G91:G94)</f>
        <v>0.60906852012474721</v>
      </c>
    </row>
    <row r="96" spans="1:12" ht="26.25" customHeight="1" x14ac:dyDescent="0.4">
      <c r="A96" s="305" t="s">
        <v>72</v>
      </c>
      <c r="B96" s="291">
        <v>1</v>
      </c>
      <c r="C96" s="401" t="s">
        <v>113</v>
      </c>
      <c r="D96" s="402">
        <v>14.85</v>
      </c>
      <c r="E96" s="321"/>
      <c r="F96" s="333">
        <v>14.28</v>
      </c>
    </row>
    <row r="97" spans="1:10" ht="26.25" customHeight="1" x14ac:dyDescent="0.4">
      <c r="A97" s="305" t="s">
        <v>74</v>
      </c>
      <c r="B97" s="291">
        <v>1</v>
      </c>
      <c r="C97" s="403" t="s">
        <v>114</v>
      </c>
      <c r="D97" s="404">
        <f>D96*$B$87</f>
        <v>14.85</v>
      </c>
      <c r="E97" s="336"/>
      <c r="F97" s="335">
        <f>F96*$B$87</f>
        <v>14.28</v>
      </c>
    </row>
    <row r="98" spans="1:10" ht="19.5" customHeight="1" x14ac:dyDescent="0.3">
      <c r="A98" s="305" t="s">
        <v>76</v>
      </c>
      <c r="B98" s="405">
        <f>(B97/B96)*(B95/B94)*(B93/B92)*(B91/B90)*B89</f>
        <v>1250</v>
      </c>
      <c r="C98" s="403" t="s">
        <v>115</v>
      </c>
      <c r="D98" s="406">
        <f>D97*$B$83/100</f>
        <v>14.713379999999999</v>
      </c>
      <c r="E98" s="339"/>
      <c r="F98" s="338">
        <f>F97*$B$83/100</f>
        <v>14.148624</v>
      </c>
    </row>
    <row r="99" spans="1:10" ht="19.5" customHeight="1" x14ac:dyDescent="0.3">
      <c r="A99" s="533" t="s">
        <v>78</v>
      </c>
      <c r="B99" s="548"/>
      <c r="C99" s="403" t="s">
        <v>116</v>
      </c>
      <c r="D99" s="407">
        <f>D98/$B$98</f>
        <v>1.1770704E-2</v>
      </c>
      <c r="E99" s="339"/>
      <c r="F99" s="342">
        <f>F98/$B$98</f>
        <v>1.13188992E-2</v>
      </c>
      <c r="G99" s="408"/>
      <c r="H99" s="331"/>
    </row>
    <row r="100" spans="1:10" ht="19.5" customHeight="1" x14ac:dyDescent="0.3">
      <c r="A100" s="535"/>
      <c r="B100" s="549"/>
      <c r="C100" s="403" t="s">
        <v>80</v>
      </c>
      <c r="D100" s="409">
        <f>$B$56/$B$116</f>
        <v>1.4222222222222223E-2</v>
      </c>
      <c r="F100" s="347"/>
      <c r="G100" s="410"/>
      <c r="H100" s="331"/>
    </row>
    <row r="101" spans="1:10" ht="18.75" x14ac:dyDescent="0.3">
      <c r="C101" s="403" t="s">
        <v>81</v>
      </c>
      <c r="D101" s="404">
        <f>D100*$B$98</f>
        <v>17.777777777777779</v>
      </c>
      <c r="F101" s="347"/>
      <c r="G101" s="408"/>
      <c r="H101" s="331"/>
    </row>
    <row r="102" spans="1:10" ht="19.5" customHeight="1" x14ac:dyDescent="0.3">
      <c r="C102" s="411" t="s">
        <v>82</v>
      </c>
      <c r="D102" s="412">
        <f>D101/B34</f>
        <v>17.777777777777779</v>
      </c>
      <c r="F102" s="351"/>
      <c r="G102" s="408"/>
      <c r="H102" s="331"/>
      <c r="J102" s="413"/>
    </row>
    <row r="103" spans="1:10" ht="18.75" x14ac:dyDescent="0.3">
      <c r="C103" s="414" t="s">
        <v>117</v>
      </c>
      <c r="D103" s="415">
        <f>AVERAGE(E91:E94,G91:G94)</f>
        <v>0.6021318662321774</v>
      </c>
      <c r="F103" s="351"/>
      <c r="G103" s="416"/>
      <c r="H103" s="331"/>
      <c r="J103" s="417"/>
    </row>
    <row r="104" spans="1:10" ht="18.75" x14ac:dyDescent="0.3">
      <c r="C104" s="381" t="s">
        <v>84</v>
      </c>
      <c r="D104" s="418">
        <f>STDEV(E91:E94,G91:G94)/D103</f>
        <v>1.2726437578926655E-2</v>
      </c>
      <c r="F104" s="351"/>
      <c r="G104" s="408"/>
      <c r="H104" s="331"/>
      <c r="J104" s="417"/>
    </row>
    <row r="105" spans="1:10" ht="19.5" customHeight="1" x14ac:dyDescent="0.3">
      <c r="C105" s="383" t="s">
        <v>20</v>
      </c>
      <c r="D105" s="419">
        <f>COUNT(E91:E94,G91:G94)</f>
        <v>6</v>
      </c>
      <c r="F105" s="351"/>
      <c r="G105" s="408"/>
      <c r="H105" s="331"/>
      <c r="J105" s="417"/>
    </row>
    <row r="106" spans="1:10" ht="19.5" customHeight="1" x14ac:dyDescent="0.3">
      <c r="A106" s="355"/>
      <c r="B106" s="355"/>
      <c r="C106" s="355"/>
      <c r="D106" s="355"/>
      <c r="E106" s="355"/>
    </row>
    <row r="107" spans="1:10" ht="26.25" customHeight="1" x14ac:dyDescent="0.4">
      <c r="A107" s="303" t="s">
        <v>118</v>
      </c>
      <c r="B107" s="304">
        <v>900</v>
      </c>
      <c r="C107" s="420" t="s">
        <v>119</v>
      </c>
      <c r="D107" s="421" t="s">
        <v>63</v>
      </c>
      <c r="E107" s="422" t="s">
        <v>120</v>
      </c>
      <c r="F107" s="423" t="s">
        <v>121</v>
      </c>
    </row>
    <row r="108" spans="1:10" ht="26.25" customHeight="1" x14ac:dyDescent="0.4">
      <c r="A108" s="305" t="s">
        <v>122</v>
      </c>
      <c r="B108" s="306">
        <v>2</v>
      </c>
      <c r="C108" s="424">
        <v>1</v>
      </c>
      <c r="D108" s="517">
        <v>0.53359999999999996</v>
      </c>
      <c r="E108" s="454">
        <f t="shared" ref="E108:E113" si="1">IF(ISBLANK(D108),"-",D108/$D$103*$D$100*$B$116)</f>
        <v>283.57907889591638</v>
      </c>
      <c r="F108" s="425">
        <f t="shared" ref="F108:F113" si="2">IF(ISBLANK(D108), "-", E108/$B$56)</f>
        <v>0.88618462154973865</v>
      </c>
    </row>
    <row r="109" spans="1:10" ht="26.25" customHeight="1" x14ac:dyDescent="0.4">
      <c r="A109" s="305" t="s">
        <v>95</v>
      </c>
      <c r="B109" s="306">
        <v>50</v>
      </c>
      <c r="C109" s="424">
        <v>2</v>
      </c>
      <c r="D109" s="517">
        <v>0.53069999999999995</v>
      </c>
      <c r="E109" s="455">
        <f t="shared" si="1"/>
        <v>282.03788824974293</v>
      </c>
      <c r="F109" s="426">
        <f t="shared" si="2"/>
        <v>0.88136840078044665</v>
      </c>
    </row>
    <row r="110" spans="1:10" ht="26.25" customHeight="1" x14ac:dyDescent="0.4">
      <c r="A110" s="305" t="s">
        <v>96</v>
      </c>
      <c r="B110" s="306">
        <v>1</v>
      </c>
      <c r="C110" s="424">
        <v>3</v>
      </c>
      <c r="D110" s="517">
        <v>0.5333</v>
      </c>
      <c r="E110" s="455">
        <f t="shared" si="1"/>
        <v>283.41964538079498</v>
      </c>
      <c r="F110" s="426">
        <f t="shared" si="2"/>
        <v>0.88568639181498432</v>
      </c>
    </row>
    <row r="111" spans="1:10" ht="26.25" customHeight="1" x14ac:dyDescent="0.4">
      <c r="A111" s="305" t="s">
        <v>97</v>
      </c>
      <c r="B111" s="306">
        <v>1</v>
      </c>
      <c r="C111" s="424">
        <v>4</v>
      </c>
      <c r="D111" s="517">
        <v>0.52880000000000005</v>
      </c>
      <c r="E111" s="455">
        <f t="shared" si="1"/>
        <v>281.02814265397416</v>
      </c>
      <c r="F111" s="426">
        <f t="shared" si="2"/>
        <v>0.87821294579366926</v>
      </c>
    </row>
    <row r="112" spans="1:10" ht="26.25" customHeight="1" x14ac:dyDescent="0.4">
      <c r="A112" s="305" t="s">
        <v>98</v>
      </c>
      <c r="B112" s="306">
        <v>1</v>
      </c>
      <c r="C112" s="424">
        <v>5</v>
      </c>
      <c r="D112" s="517">
        <v>0.52100000000000002</v>
      </c>
      <c r="E112" s="455">
        <f t="shared" si="1"/>
        <v>276.88287126081792</v>
      </c>
      <c r="F112" s="426">
        <f t="shared" si="2"/>
        <v>0.86525897269005603</v>
      </c>
    </row>
    <row r="113" spans="1:10" ht="26.25" customHeight="1" x14ac:dyDescent="0.4">
      <c r="A113" s="305" t="s">
        <v>100</v>
      </c>
      <c r="B113" s="306">
        <v>1</v>
      </c>
      <c r="C113" s="427">
        <v>6</v>
      </c>
      <c r="D113" s="518">
        <v>0.53680000000000005</v>
      </c>
      <c r="E113" s="456">
        <f t="shared" si="1"/>
        <v>285.27970305721129</v>
      </c>
      <c r="F113" s="428">
        <f t="shared" si="2"/>
        <v>0.89149907205378531</v>
      </c>
    </row>
    <row r="114" spans="1:10" ht="26.25" customHeight="1" x14ac:dyDescent="0.4">
      <c r="A114" s="305" t="s">
        <v>101</v>
      </c>
      <c r="B114" s="306">
        <v>1</v>
      </c>
      <c r="C114" s="424"/>
      <c r="D114" s="378"/>
      <c r="E114" s="279"/>
      <c r="F114" s="429"/>
    </row>
    <row r="115" spans="1:10" ht="26.25" customHeight="1" x14ac:dyDescent="0.4">
      <c r="A115" s="305" t="s">
        <v>102</v>
      </c>
      <c r="B115" s="306">
        <v>1</v>
      </c>
      <c r="C115" s="424"/>
      <c r="D115" s="430" t="s">
        <v>71</v>
      </c>
      <c r="E115" s="458">
        <f>AVERAGE(E108:E113)</f>
        <v>282.03788824974293</v>
      </c>
      <c r="F115" s="431">
        <f>AVERAGE(F108:F113)</f>
        <v>0.88136840078044676</v>
      </c>
    </row>
    <row r="116" spans="1:10" ht="27" customHeight="1" x14ac:dyDescent="0.4">
      <c r="A116" s="305" t="s">
        <v>103</v>
      </c>
      <c r="B116" s="337">
        <f>(B115/B114)*(B113/B112)*(B111/B110)*(B109/B108)*B107</f>
        <v>22500</v>
      </c>
      <c r="C116" s="432"/>
      <c r="D116" s="397" t="s">
        <v>84</v>
      </c>
      <c r="E116" s="433">
        <f>STDEV(E108:E113)/E115</f>
        <v>1.0323508524297087E-2</v>
      </c>
      <c r="F116" s="433">
        <f>STDEV(F108:F113)/F115</f>
        <v>1.0323508524297077E-2</v>
      </c>
      <c r="I116" s="279"/>
    </row>
    <row r="117" spans="1:10" ht="27" customHeight="1" x14ac:dyDescent="0.4">
      <c r="A117" s="533" t="s">
        <v>78</v>
      </c>
      <c r="B117" s="534"/>
      <c r="C117" s="434"/>
      <c r="D117" s="435" t="s">
        <v>20</v>
      </c>
      <c r="E117" s="436">
        <f>COUNT(E108:E113)</f>
        <v>6</v>
      </c>
      <c r="F117" s="436">
        <f>COUNT(F108:F113)</f>
        <v>6</v>
      </c>
      <c r="I117" s="279"/>
      <c r="J117" s="417"/>
    </row>
    <row r="118" spans="1:10" ht="19.5" customHeight="1" x14ac:dyDescent="0.3">
      <c r="A118" s="535"/>
      <c r="B118" s="536"/>
      <c r="C118" s="279"/>
      <c r="D118" s="279"/>
      <c r="E118" s="279"/>
      <c r="F118" s="378"/>
      <c r="G118" s="279"/>
      <c r="H118" s="279"/>
      <c r="I118" s="279"/>
    </row>
    <row r="119" spans="1:10" ht="18.75" x14ac:dyDescent="0.3">
      <c r="A119" s="445"/>
      <c r="B119" s="301"/>
      <c r="C119" s="279"/>
      <c r="D119" s="279"/>
      <c r="E119" s="279"/>
      <c r="F119" s="378"/>
      <c r="G119" s="279"/>
      <c r="H119" s="279"/>
      <c r="I119" s="279"/>
    </row>
    <row r="120" spans="1:10" ht="26.25" customHeight="1" x14ac:dyDescent="0.4">
      <c r="A120" s="289" t="s">
        <v>106</v>
      </c>
      <c r="B120" s="385" t="s">
        <v>123</v>
      </c>
      <c r="C120" s="537" t="str">
        <f>B20</f>
        <v>Dihydroartemisinin , Piperaquine Phosphate</v>
      </c>
      <c r="D120" s="537"/>
      <c r="E120" s="386" t="s">
        <v>124</v>
      </c>
      <c r="F120" s="386"/>
      <c r="G120" s="387">
        <f>F115</f>
        <v>0.88136840078044676</v>
      </c>
      <c r="H120" s="279"/>
      <c r="I120" s="279"/>
    </row>
    <row r="121" spans="1:10" ht="19.5" customHeight="1" x14ac:dyDescent="0.3">
      <c r="A121" s="437"/>
      <c r="B121" s="437"/>
      <c r="C121" s="438"/>
      <c r="D121" s="438"/>
      <c r="E121" s="438"/>
      <c r="F121" s="438"/>
      <c r="G121" s="438"/>
      <c r="H121" s="438"/>
    </row>
    <row r="122" spans="1:10" ht="18.75" x14ac:dyDescent="0.3">
      <c r="B122" s="538" t="s">
        <v>26</v>
      </c>
      <c r="C122" s="538"/>
      <c r="E122" s="392" t="s">
        <v>27</v>
      </c>
      <c r="F122" s="439"/>
      <c r="G122" s="538" t="s">
        <v>28</v>
      </c>
      <c r="H122" s="538"/>
    </row>
    <row r="123" spans="1:10" ht="69.95" customHeight="1" x14ac:dyDescent="0.3">
      <c r="A123" s="440" t="s">
        <v>29</v>
      </c>
      <c r="B123" s="441"/>
      <c r="C123" s="441"/>
      <c r="E123" s="441"/>
      <c r="F123" s="279"/>
      <c r="G123" s="442"/>
      <c r="H123" s="442"/>
    </row>
    <row r="124" spans="1:10" ht="69.95" customHeight="1" x14ac:dyDescent="0.3">
      <c r="A124" s="440" t="s">
        <v>30</v>
      </c>
      <c r="B124" s="443"/>
      <c r="C124" s="443"/>
      <c r="E124" s="443"/>
      <c r="F124" s="279"/>
      <c r="G124" s="444"/>
      <c r="H124" s="444"/>
    </row>
    <row r="125" spans="1:10" ht="18.75" x14ac:dyDescent="0.3">
      <c r="A125" s="377"/>
      <c r="B125" s="377"/>
      <c r="C125" s="378"/>
      <c r="D125" s="378"/>
      <c r="E125" s="378"/>
      <c r="F125" s="382"/>
      <c r="G125" s="378"/>
      <c r="H125" s="378"/>
      <c r="I125" s="279"/>
    </row>
    <row r="126" spans="1:10" ht="18.75" x14ac:dyDescent="0.3">
      <c r="A126" s="377"/>
      <c r="B126" s="377"/>
      <c r="C126" s="378"/>
      <c r="D126" s="378"/>
      <c r="E126" s="378"/>
      <c r="F126" s="382"/>
      <c r="G126" s="378"/>
      <c r="H126" s="378"/>
      <c r="I126" s="279"/>
    </row>
    <row r="127" spans="1:10" ht="18.75" x14ac:dyDescent="0.3">
      <c r="A127" s="377"/>
      <c r="B127" s="377"/>
      <c r="C127" s="378"/>
      <c r="D127" s="378"/>
      <c r="E127" s="378"/>
      <c r="F127" s="382"/>
      <c r="G127" s="378"/>
      <c r="H127" s="378"/>
      <c r="I127" s="279"/>
    </row>
    <row r="128" spans="1:10" ht="18.75" x14ac:dyDescent="0.3">
      <c r="A128" s="377"/>
      <c r="B128" s="377"/>
      <c r="C128" s="378"/>
      <c r="D128" s="378"/>
      <c r="E128" s="378"/>
      <c r="F128" s="382"/>
      <c r="G128" s="378"/>
      <c r="H128" s="378"/>
      <c r="I128" s="279"/>
    </row>
    <row r="129" spans="1:9" ht="18.75" x14ac:dyDescent="0.3">
      <c r="A129" s="377"/>
      <c r="B129" s="377"/>
      <c r="C129" s="378"/>
      <c r="D129" s="378"/>
      <c r="E129" s="378"/>
      <c r="F129" s="382"/>
      <c r="G129" s="378"/>
      <c r="H129" s="378"/>
      <c r="I129" s="279"/>
    </row>
    <row r="130" spans="1:9" ht="18.75" x14ac:dyDescent="0.3">
      <c r="A130" s="377"/>
      <c r="B130" s="377"/>
      <c r="C130" s="378"/>
      <c r="D130" s="378"/>
      <c r="E130" s="378"/>
      <c r="F130" s="382"/>
      <c r="G130" s="378"/>
      <c r="H130" s="378"/>
      <c r="I130" s="279"/>
    </row>
    <row r="131" spans="1:9" ht="18.75" x14ac:dyDescent="0.3">
      <c r="A131" s="377"/>
      <c r="B131" s="377"/>
      <c r="C131" s="378"/>
      <c r="D131" s="378"/>
      <c r="E131" s="378"/>
      <c r="F131" s="382"/>
      <c r="G131" s="378"/>
      <c r="H131" s="378"/>
      <c r="I131" s="279"/>
    </row>
    <row r="132" spans="1:9" ht="18.75" x14ac:dyDescent="0.3">
      <c r="A132" s="377"/>
      <c r="B132" s="377"/>
      <c r="C132" s="378"/>
      <c r="D132" s="378"/>
      <c r="E132" s="378"/>
      <c r="F132" s="382"/>
      <c r="G132" s="378"/>
      <c r="H132" s="378"/>
      <c r="I132" s="279"/>
    </row>
    <row r="133" spans="1:9" ht="18.75" x14ac:dyDescent="0.3">
      <c r="A133" s="377"/>
      <c r="B133" s="377"/>
      <c r="C133" s="378"/>
      <c r="D133" s="378"/>
      <c r="E133" s="378"/>
      <c r="F133" s="382"/>
      <c r="G133" s="378"/>
      <c r="H133" s="378"/>
      <c r="I133" s="279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SST-DHA</vt:lpstr>
      <vt:lpstr>SST-DHA (2)</vt:lpstr>
      <vt:lpstr>SST-PPQ</vt:lpstr>
      <vt:lpstr>Uniformity</vt:lpstr>
      <vt:lpstr>Dihydroartemisinin</vt:lpstr>
      <vt:lpstr>Dihydroartemisinin (2)</vt:lpstr>
      <vt:lpstr>Piperaquine Phosphate</vt:lpstr>
      <vt:lpstr>Dihydroartemisinin!Print_Area</vt:lpstr>
      <vt:lpstr>'Dihydroartemisinin (2)'!Print_Area</vt:lpstr>
      <vt:lpstr>'Piperaquine Phosphate'!Print_Area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2015-12-08T07:57:47Z</cp:lastPrinted>
  <dcterms:created xsi:type="dcterms:W3CDTF">2005-07-05T10:19:27Z</dcterms:created>
  <dcterms:modified xsi:type="dcterms:W3CDTF">2016-05-16T07:31:26Z</dcterms:modified>
</cp:coreProperties>
</file>