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9405"/>
  </bookViews>
  <sheets>
    <sheet name="SST" sheetId="1" r:id="rId1"/>
    <sheet name="Uniformity" sheetId="5" r:id="rId2"/>
    <sheet name="Dolutegravir" sheetId="3" r:id="rId3"/>
    <sheet name="Sheet1" sheetId="6" r:id="rId4"/>
  </sheets>
  <definedNames>
    <definedName name="_xlnm.Print_Area" localSheetId="2">Dolutegravir!$A$1:$J$136</definedName>
    <definedName name="_xlnm.Print_Area" localSheetId="1">Uniformity!$A$10:$G$54</definedName>
  </definedNames>
  <calcPr calcId="145621"/>
</workbook>
</file>

<file path=xl/calcChain.xml><?xml version="1.0" encoding="utf-8"?>
<calcChain xmlns="http://schemas.openxmlformats.org/spreadsheetml/2006/main">
  <c r="E30" i="1" l="1"/>
  <c r="D30" i="1"/>
  <c r="C30" i="1"/>
  <c r="B31" i="1"/>
  <c r="B30" i="1"/>
  <c r="B69" i="3" l="1"/>
  <c r="B85" i="3"/>
  <c r="B87" i="3" s="1"/>
  <c r="D97" i="3" s="1"/>
  <c r="B84" i="3"/>
  <c r="C46" i="5"/>
  <c r="C45" i="5"/>
  <c r="D41" i="5"/>
  <c r="D37" i="5"/>
  <c r="D33" i="5"/>
  <c r="D29" i="5"/>
  <c r="D25" i="5"/>
  <c r="C19" i="5"/>
  <c r="C120" i="3"/>
  <c r="B116" i="3"/>
  <c r="D100" i="3"/>
  <c r="B98" i="3"/>
  <c r="F95" i="3"/>
  <c r="D95" i="3"/>
  <c r="I92" i="3"/>
  <c r="B81" i="3"/>
  <c r="B83" i="3" s="1"/>
  <c r="B79" i="3"/>
  <c r="C76" i="3"/>
  <c r="B68" i="3"/>
  <c r="B57" i="3"/>
  <c r="C56" i="3"/>
  <c r="B55" i="3"/>
  <c r="B45" i="3"/>
  <c r="D48" i="3" s="1"/>
  <c r="D49" i="3" s="1"/>
  <c r="F42" i="3"/>
  <c r="D42" i="3"/>
  <c r="I39" i="3"/>
  <c r="B34" i="3"/>
  <c r="D44" i="3" s="1"/>
  <c r="B30" i="3"/>
  <c r="B32" i="1"/>
  <c r="D101" i="3" l="1"/>
  <c r="D102" i="3" s="1"/>
  <c r="D98" i="3"/>
  <c r="D99" i="3" s="1"/>
  <c r="D45" i="3"/>
  <c r="E38" i="3" s="1"/>
  <c r="F44" i="3"/>
  <c r="F45" i="3" s="1"/>
  <c r="F46" i="3" s="1"/>
  <c r="F97" i="3"/>
  <c r="F98" i="3" s="1"/>
  <c r="F99" i="3" s="1"/>
  <c r="D27" i="5"/>
  <c r="D31" i="5"/>
  <c r="D35" i="5"/>
  <c r="D39" i="5"/>
  <c r="D43" i="5"/>
  <c r="C49" i="5"/>
  <c r="E41" i="3"/>
  <c r="D24" i="5"/>
  <c r="D28" i="5"/>
  <c r="D32" i="5"/>
  <c r="D36" i="5"/>
  <c r="D40" i="5"/>
  <c r="D49" i="5"/>
  <c r="C50" i="5"/>
  <c r="G38" i="3"/>
  <c r="E40" i="3"/>
  <c r="D26" i="5"/>
  <c r="D30" i="5"/>
  <c r="D34" i="5"/>
  <c r="D38" i="5"/>
  <c r="D42" i="5"/>
  <c r="B49" i="5"/>
  <c r="D50" i="5"/>
  <c r="E93" i="3" l="1"/>
  <c r="G93" i="3"/>
  <c r="G94" i="3"/>
  <c r="E39" i="3"/>
  <c r="E42" i="3" s="1"/>
  <c r="E94" i="3"/>
  <c r="D46" i="3"/>
  <c r="E92" i="3"/>
  <c r="E91" i="3"/>
  <c r="G40" i="3"/>
  <c r="G39" i="3"/>
  <c r="G92" i="3"/>
  <c r="G91" i="3"/>
  <c r="G41" i="3"/>
  <c r="D50" i="3" l="1"/>
  <c r="G68" i="3" s="1"/>
  <c r="H68" i="3" s="1"/>
  <c r="D103" i="3"/>
  <c r="E113" i="3" s="1"/>
  <c r="F113" i="3" s="1"/>
  <c r="E95" i="3"/>
  <c r="G42" i="3"/>
  <c r="G95" i="3"/>
  <c r="D52" i="3"/>
  <c r="G71" i="3"/>
  <c r="H71" i="3" s="1"/>
  <c r="G69" i="3"/>
  <c r="H69" i="3" s="1"/>
  <c r="D51" i="3"/>
  <c r="G67" i="3"/>
  <c r="H67" i="3" s="1"/>
  <c r="G65" i="3"/>
  <c r="H65" i="3" s="1"/>
  <c r="G63" i="3"/>
  <c r="H63" i="3" s="1"/>
  <c r="D105" i="3"/>
  <c r="G62" i="3" l="1"/>
  <c r="H62" i="3" s="1"/>
  <c r="G66" i="3"/>
  <c r="H66" i="3" s="1"/>
  <c r="G60" i="3"/>
  <c r="H60" i="3" s="1"/>
  <c r="G61" i="3"/>
  <c r="H61" i="3" s="1"/>
  <c r="G70" i="3"/>
  <c r="H70" i="3" s="1"/>
  <c r="G64" i="3"/>
  <c r="H64" i="3" s="1"/>
  <c r="E108" i="3"/>
  <c r="F108" i="3" s="1"/>
  <c r="D104" i="3"/>
  <c r="E109" i="3"/>
  <c r="F109" i="3" s="1"/>
  <c r="E110" i="3"/>
  <c r="F110" i="3" s="1"/>
  <c r="E111" i="3"/>
  <c r="F111" i="3" s="1"/>
  <c r="E112" i="3"/>
  <c r="F112" i="3" s="1"/>
  <c r="H74" i="3" l="1"/>
  <c r="H72" i="3"/>
  <c r="H73" i="3" s="1"/>
  <c r="F115" i="3"/>
  <c r="F116" i="3" s="1"/>
  <c r="F117" i="3"/>
  <c r="G76" i="3" l="1"/>
  <c r="G120" i="3"/>
</calcChain>
</file>

<file path=xl/sharedStrings.xml><?xml version="1.0" encoding="utf-8"?>
<sst xmlns="http://schemas.openxmlformats.org/spreadsheetml/2006/main" count="234" uniqueCount="126">
  <si>
    <t>HPLC System Suitability Report</t>
  </si>
  <si>
    <t>Analysis Data</t>
  </si>
  <si>
    <t>Assay</t>
  </si>
  <si>
    <t>Sample(s)</t>
  </si>
  <si>
    <t>Reference Substance:</t>
  </si>
  <si>
    <t>Dolutegravir 50mg</t>
  </si>
  <si>
    <t>% age Purity:</t>
  </si>
  <si>
    <t>NDQD201507028</t>
  </si>
  <si>
    <t>Weight (mg):</t>
  </si>
  <si>
    <t>Dolutegravir sodium equivalent to Dolutegravir 50mg.</t>
  </si>
  <si>
    <t>Standard Conc (mg/mL):</t>
  </si>
  <si>
    <t>each tablets contains dolutegravir sodium equivalent to dolutegravir 50mg.</t>
  </si>
  <si>
    <t>2015-07-17 06:57:56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</si>
  <si>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</si>
  <si>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</si>
  <si>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</si>
  <si>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</si>
  <si>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</si>
  <si>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</si>
  <si>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</si>
  <si>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</si>
  <si>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</si>
  <si>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</si>
  <si>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</si>
  <si>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</si>
  <si>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</si>
  <si>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</si>
  <si>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</si>
  <si>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</si>
  <si>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</si>
  <si>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</si>
  <si>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</si>
  <si>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</si>
  <si>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</si>
  <si>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</si>
  <si>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</si>
  <si>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</si>
  <si>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</si>
  <si>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</si>
  <si>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</si>
  <si>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</si>
  <si>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</si>
  <si>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</si>
  <si>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</si>
  <si>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</si>
  <si>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</si>
  <si>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</si>
  <si>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</si>
  <si>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</si>
  <si>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</si>
  <si>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</si>
  <si>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</si>
  <si>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</si>
  <si>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</si>
  <si>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</si>
  <si>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</si>
  <si>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</si>
  <si>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</si>
  <si>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</si>
  <si>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</si>
  <si>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</si>
  <si>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</si>
  <si>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</si>
  <si>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</si>
  <si>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</si>
  <si>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</si>
  <si>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</si>
  <si>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</si>
  <si>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</si>
  <si>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</si>
  <si>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</si>
  <si>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</si>
  <si>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</si>
  <si>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</si>
  <si>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</si>
  <si>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</si>
  <si>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</si>
  <si>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</si>
  <si>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</si>
  <si>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</si>
  <si>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</si>
  <si>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</si>
  <si>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</si>
  <si>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</si>
  <si>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</si>
  <si>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</si>
  <si>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</si>
  <si>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</si>
  <si>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</si>
  <si>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</si>
  <si>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</si>
  <si>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</si>
  <si>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</si>
  <si>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</si>
  <si>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</si>
  <si>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</si>
  <si>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</si>
  <si>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</si>
  <si>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</si>
  <si>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</si>
  <si>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</si>
  <si>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</si>
  <si>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</si>
  <si>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</si>
  <si>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</si>
  <si>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</si>
  <si>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</si>
  <si>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</si>
  <si>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</si>
  <si>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</si>
  <si>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</si>
  <si>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</si>
  <si>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</si>
  <si>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</si>
  <si>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</si>
  <si>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</si>
  <si>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</si>
  <si>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</si>
  <si>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</si>
  <si>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</si>
  <si>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</si>
  <si>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</si>
  <si>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</si>
  <si>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</si>
  <si>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</si>
  <si>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Dolutegravir Sodium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</si>
</sst>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[$-409]d/mmm/yy;@"/>
    <numFmt numFmtId="173" formatCode="0.0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3" borderId="3" xfId="0" applyFont="1" applyFill="1" applyBorder="1" applyAlignment="1" applyProtection="1">
      <alignment horizontal="center"/>
      <protection locked="0"/>
    </xf>
    <xf numFmtId="2" fontId="6" fillId="3" borderId="3" xfId="0" applyNumberFormat="1" applyFont="1" applyFill="1" applyBorder="1" applyAlignment="1" applyProtection="1">
      <alignment horizontal="center"/>
      <protection locked="0"/>
    </xf>
    <xf numFmtId="2" fontId="6" fillId="3" borderId="4" xfId="0" applyNumberFormat="1" applyFont="1" applyFill="1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/>
      <protection locked="0"/>
    </xf>
    <xf numFmtId="2" fontId="6" fillId="3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/>
    <xf numFmtId="1" fontId="4" fillId="4" borderId="2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5" fillId="2" borderId="3" xfId="0" applyFont="1" applyFill="1" applyBorder="1"/>
    <xf numFmtId="10" fontId="4" fillId="5" borderId="1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5" fillId="2" borderId="6" xfId="0" applyFont="1" applyFill="1" applyBorder="1"/>
    <xf numFmtId="0" fontId="5" fillId="2" borderId="5" xfId="0" applyFont="1" applyFill="1" applyBorder="1"/>
    <xf numFmtId="0" fontId="4" fillId="4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0" fillId="3" borderId="34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5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5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170" fontId="10" fillId="3" borderId="35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5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7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8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0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10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3" xfId="0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4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5" xfId="0" applyNumberFormat="1" applyFont="1" applyFill="1" applyBorder="1" applyAlignment="1">
      <alignment horizontal="center"/>
    </xf>
    <xf numFmtId="1" fontId="9" fillId="6" borderId="46" xfId="0" applyNumberFormat="1" applyFont="1" applyFill="1" applyBorder="1" applyAlignment="1">
      <alignment horizontal="center"/>
    </xf>
    <xf numFmtId="0" fontId="8" fillId="2" borderId="47" xfId="0" applyFont="1" applyFill="1" applyBorder="1" applyAlignment="1">
      <alignment horizontal="right"/>
    </xf>
    <xf numFmtId="0" fontId="10" fillId="3" borderId="48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49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4" xfId="0" applyFont="1" applyFill="1" applyBorder="1" applyAlignment="1">
      <alignment horizontal="right"/>
    </xf>
    <xf numFmtId="169" fontId="9" fillId="7" borderId="3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5" xfId="0" applyNumberFormat="1" applyFont="1" applyFill="1" applyBorder="1" applyAlignment="1">
      <alignment horizontal="center"/>
    </xf>
    <xf numFmtId="0" fontId="9" fillId="7" borderId="36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1" fontId="10" fillId="3" borderId="24" xfId="0" applyNumberFormat="1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" fontId="10" fillId="3" borderId="28" xfId="0" applyNumberFormat="1" applyFont="1" applyFill="1" applyBorder="1" applyAlignment="1" applyProtection="1">
      <alignment horizontal="center"/>
      <protection locked="0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9" fontId="9" fillId="2" borderId="0" xfId="0" applyNumberFormat="1" applyFont="1" applyFill="1" applyAlignment="1">
      <alignment horizontal="center"/>
    </xf>
    <xf numFmtId="169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8" xfId="0" applyFont="1" applyFill="1" applyBorder="1"/>
    <xf numFmtId="0" fontId="8" fillId="2" borderId="52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right"/>
    </xf>
    <xf numFmtId="0" fontId="10" fillId="7" borderId="36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20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21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72" fontId="5" fillId="2" borderId="0" xfId="0" applyNumberFormat="1" applyFont="1" applyFill="1"/>
    <xf numFmtId="170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right" vertical="center"/>
    </xf>
    <xf numFmtId="170" fontId="5" fillId="2" borderId="19" xfId="0" applyNumberFormat="1" applyFont="1" applyFill="1" applyBorder="1" applyAlignment="1">
      <alignment horizontal="center" vertical="center"/>
    </xf>
    <xf numFmtId="164" fontId="4" fillId="2" borderId="19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wrapText="1"/>
    </xf>
    <xf numFmtId="164" fontId="4" fillId="2" borderId="19" xfId="0" applyNumberFormat="1" applyFont="1" applyFill="1" applyBorder="1" applyAlignment="1">
      <alignment horizontal="center" wrapText="1"/>
    </xf>
    <xf numFmtId="10" fontId="5" fillId="2" borderId="23" xfId="0" applyNumberFormat="1" applyFont="1" applyFill="1" applyBorder="1" applyAlignment="1">
      <alignment horizontal="center"/>
    </xf>
    <xf numFmtId="10" fontId="5" fillId="2" borderId="39" xfId="0" applyNumberFormat="1" applyFont="1" applyFill="1" applyBorder="1" applyAlignment="1">
      <alignment horizontal="center"/>
    </xf>
    <xf numFmtId="10" fontId="5" fillId="2" borderId="30" xfId="0" applyNumberFormat="1" applyFont="1" applyFill="1" applyBorder="1" applyAlignment="1">
      <alignment horizontal="center"/>
    </xf>
    <xf numFmtId="0" fontId="3" fillId="2" borderId="0" xfId="0" applyFont="1" applyFill="1"/>
    <xf numFmtId="0" fontId="22" fillId="2" borderId="0" xfId="0" applyFont="1" applyFill="1" applyAlignment="1">
      <alignment wrapText="1"/>
    </xf>
    <xf numFmtId="0" fontId="4" fillId="2" borderId="19" xfId="0" applyFont="1" applyFill="1" applyBorder="1" applyAlignment="1">
      <alignment horizontal="center" vertical="center"/>
    </xf>
    <xf numFmtId="165" fontId="4" fillId="2" borderId="34" xfId="0" applyNumberFormat="1" applyFont="1" applyFill="1" applyBorder="1" applyAlignment="1">
      <alignment horizontal="center"/>
    </xf>
    <xf numFmtId="165" fontId="4" fillId="2" borderId="36" xfId="0" applyNumberFormat="1" applyFont="1" applyFill="1" applyBorder="1" applyAlignment="1">
      <alignment horizontal="center"/>
    </xf>
    <xf numFmtId="2" fontId="5" fillId="3" borderId="39" xfId="0" applyNumberFormat="1" applyFont="1" applyFill="1" applyBorder="1" applyProtection="1">
      <protection locked="0"/>
    </xf>
    <xf numFmtId="2" fontId="5" fillId="3" borderId="30" xfId="0" applyNumberFormat="1" applyFont="1" applyFill="1" applyBorder="1" applyProtection="1">
      <protection locked="0"/>
    </xf>
    <xf numFmtId="172" fontId="5" fillId="2" borderId="0" xfId="0" applyNumberFormat="1" applyFont="1" applyFill="1" applyAlignment="1">
      <alignment horizontal="center"/>
    </xf>
    <xf numFmtId="169" fontId="8" fillId="2" borderId="0" xfId="0" applyNumberFormat="1" applyFont="1" applyFill="1" applyAlignment="1">
      <alignment horizontal="center"/>
    </xf>
    <xf numFmtId="2" fontId="8" fillId="2" borderId="17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2" fontId="8" fillId="2" borderId="28" xfId="0" applyNumberFormat="1" applyFont="1" applyFill="1" applyBorder="1" applyAlignment="1">
      <alignment horizontal="center"/>
    </xf>
    <xf numFmtId="173" fontId="8" fillId="2" borderId="17" xfId="0" applyNumberFormat="1" applyFont="1" applyFill="1" applyBorder="1" applyAlignment="1">
      <alignment horizontal="center"/>
    </xf>
    <xf numFmtId="173" fontId="8" fillId="2" borderId="24" xfId="0" applyNumberFormat="1" applyFont="1" applyFill="1" applyBorder="1" applyAlignment="1">
      <alignment horizontal="center"/>
    </xf>
    <xf numFmtId="173" fontId="8" fillId="2" borderId="28" xfId="0" applyNumberFormat="1" applyFont="1" applyFill="1" applyBorder="1" applyAlignment="1">
      <alignment horizontal="center"/>
    </xf>
    <xf numFmtId="173" fontId="8" fillId="2" borderId="22" xfId="0" applyNumberFormat="1" applyFont="1" applyFill="1" applyBorder="1" applyAlignment="1">
      <alignment horizontal="center"/>
    </xf>
    <xf numFmtId="173" fontId="8" fillId="2" borderId="25" xfId="0" applyNumberFormat="1" applyFont="1" applyFill="1" applyBorder="1" applyAlignment="1">
      <alignment horizontal="center"/>
    </xf>
    <xf numFmtId="173" fontId="8" fillId="2" borderId="29" xfId="0" applyNumberFormat="1" applyFont="1" applyFill="1" applyBorder="1" applyAlignment="1">
      <alignment horizontal="center"/>
    </xf>
    <xf numFmtId="173" fontId="9" fillId="6" borderId="32" xfId="0" applyNumberFormat="1" applyFont="1" applyFill="1" applyBorder="1" applyAlignment="1">
      <alignment horizontal="center"/>
    </xf>
    <xf numFmtId="173" fontId="9" fillId="6" borderId="3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2" borderId="57" xfId="0" applyFont="1" applyFill="1" applyBorder="1" applyAlignment="1">
      <alignment horizontal="center"/>
    </xf>
    <xf numFmtId="0" fontId="15" fillId="2" borderId="13" xfId="0" applyFont="1" applyFill="1" applyBorder="1"/>
    <xf numFmtId="0" fontId="16" fillId="2" borderId="0" xfId="0" applyFont="1" applyFill="1" applyBorder="1" applyAlignment="1">
      <alignment horizontal="left" vertical="center" wrapText="1"/>
    </xf>
    <xf numFmtId="0" fontId="9" fillId="2" borderId="59" xfId="0" applyFont="1" applyFill="1" applyBorder="1" applyAlignment="1">
      <alignment horizontal="center"/>
    </xf>
    <xf numFmtId="173" fontId="8" fillId="2" borderId="60" xfId="0" applyNumberFormat="1" applyFont="1" applyFill="1" applyBorder="1" applyAlignment="1">
      <alignment horizontal="center"/>
    </xf>
    <xf numFmtId="173" fontId="8" fillId="2" borderId="61" xfId="0" applyNumberFormat="1" applyFont="1" applyFill="1" applyBorder="1" applyAlignment="1">
      <alignment horizontal="center"/>
    </xf>
    <xf numFmtId="173" fontId="8" fillId="2" borderId="62" xfId="0" applyNumberFormat="1" applyFont="1" applyFill="1" applyBorder="1" applyAlignment="1">
      <alignment horizontal="center"/>
    </xf>
    <xf numFmtId="173" fontId="9" fillId="6" borderId="63" xfId="0" applyNumberFormat="1" applyFont="1" applyFill="1" applyBorder="1" applyAlignment="1">
      <alignment horizontal="center"/>
    </xf>
    <xf numFmtId="0" fontId="13" fillId="2" borderId="0" xfId="0" applyFont="1" applyFill="1" applyBorder="1"/>
    <xf numFmtId="0" fontId="14" fillId="2" borderId="0" xfId="0" applyFont="1" applyFill="1" applyBorder="1"/>
    <xf numFmtId="0" fontId="8" fillId="2" borderId="64" xfId="0" applyFont="1" applyFill="1" applyBorder="1"/>
    <xf numFmtId="0" fontId="8" fillId="2" borderId="68" xfId="0" applyFont="1" applyFill="1" applyBorder="1"/>
    <xf numFmtId="0" fontId="7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70" fontId="4" fillId="2" borderId="23" xfId="0" applyNumberFormat="1" applyFont="1" applyFill="1" applyBorder="1" applyAlignment="1">
      <alignment horizontal="center" vertical="center"/>
    </xf>
    <xf numFmtId="170" fontId="4" fillId="2" borderId="3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2" fillId="2" borderId="55" xfId="0" applyFont="1" applyFill="1" applyBorder="1" applyAlignment="1">
      <alignment horizontal="center" wrapText="1"/>
    </xf>
    <xf numFmtId="0" fontId="22" fillId="2" borderId="56" xfId="0" applyFont="1" applyFill="1" applyBorder="1" applyAlignment="1">
      <alignment horizontal="center" wrapText="1"/>
    </xf>
    <xf numFmtId="0" fontId="22" fillId="2" borderId="57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16" fillId="2" borderId="57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0" xfId="0" applyFont="1" applyFill="1" applyBorder="1" applyAlignment="1">
      <alignment horizontal="justify" vertical="center" wrapText="1"/>
    </xf>
    <xf numFmtId="0" fontId="16" fillId="2" borderId="68" xfId="0" applyFont="1" applyFill="1" applyBorder="1" applyAlignment="1">
      <alignment horizontal="left" vertical="center" wrapText="1"/>
    </xf>
    <xf numFmtId="0" fontId="9" fillId="2" borderId="65" xfId="0" applyFont="1" applyFill="1" applyBorder="1" applyAlignment="1">
      <alignment horizontal="center"/>
    </xf>
    <xf numFmtId="0" fontId="9" fillId="2" borderId="66" xfId="0" applyFont="1" applyFill="1" applyBorder="1" applyAlignment="1">
      <alignment horizontal="center"/>
    </xf>
    <xf numFmtId="0" fontId="9" fillId="2" borderId="67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15" xfId="0" applyNumberFormat="1" applyFont="1" applyFill="1" applyBorder="1" applyAlignment="1">
      <alignment horizontal="center" vertical="center"/>
    </xf>
    <xf numFmtId="10" fontId="12" fillId="2" borderId="39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8" xfId="0" applyFont="1" applyFill="1" applyBorder="1" applyAlignment="1">
      <alignment horizontal="left" vertical="center" wrapText="1"/>
    </xf>
    <xf numFmtId="0" fontId="16" fillId="2" borderId="4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7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16" fillId="2" borderId="57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8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8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center" vertical="center" wrapText="1"/>
    </xf>
    <xf numFmtId="10" fontId="4" fillId="2" borderId="0" xfId="0" applyNumberFormat="1" applyFont="1" applyFill="1" applyAlignment="1">
      <alignment horizontal="center"/>
    </xf>
    <xf numFmtId="173" fontId="4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28" workbookViewId="0">
      <selection activeCell="E50" sqref="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4" t="s">
        <v>0</v>
      </c>
      <c r="B15" s="294"/>
      <c r="C15" s="294"/>
      <c r="D15" s="294"/>
      <c r="E15" s="29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30706219</v>
      </c>
      <c r="C24" s="18">
        <v>13732.2</v>
      </c>
      <c r="D24" s="19">
        <v>1.21</v>
      </c>
      <c r="E24" s="20">
        <v>15.56</v>
      </c>
    </row>
    <row r="25" spans="1:6" ht="16.5" customHeight="1" x14ac:dyDescent="0.3">
      <c r="A25" s="17">
        <v>2</v>
      </c>
      <c r="B25" s="18">
        <v>30657079</v>
      </c>
      <c r="C25" s="18">
        <v>13714.1</v>
      </c>
      <c r="D25" s="19">
        <v>1.2</v>
      </c>
      <c r="E25" s="19">
        <v>15.6</v>
      </c>
    </row>
    <row r="26" spans="1:6" ht="16.5" customHeight="1" x14ac:dyDescent="0.3">
      <c r="A26" s="17">
        <v>3</v>
      </c>
      <c r="B26" s="18">
        <v>30750329</v>
      </c>
      <c r="C26" s="18">
        <v>13851.2</v>
      </c>
      <c r="D26" s="19">
        <v>1.21</v>
      </c>
      <c r="E26" s="19">
        <v>15.58</v>
      </c>
    </row>
    <row r="27" spans="1:6" ht="16.5" customHeight="1" x14ac:dyDescent="0.3">
      <c r="A27" s="17">
        <v>4</v>
      </c>
      <c r="B27" s="18">
        <v>30753676</v>
      </c>
      <c r="C27" s="18">
        <v>13732.3</v>
      </c>
      <c r="D27" s="19">
        <v>1.21</v>
      </c>
      <c r="E27" s="19">
        <v>15.58</v>
      </c>
    </row>
    <row r="28" spans="1:6" ht="16.5" customHeight="1" x14ac:dyDescent="0.3">
      <c r="A28" s="17">
        <v>5</v>
      </c>
      <c r="B28" s="18">
        <v>30844839</v>
      </c>
      <c r="C28" s="18">
        <v>13804.8</v>
      </c>
      <c r="D28" s="19">
        <v>1.19</v>
      </c>
      <c r="E28" s="19">
        <v>15.57</v>
      </c>
    </row>
    <row r="29" spans="1:6" ht="16.5" customHeight="1" x14ac:dyDescent="0.3">
      <c r="A29" s="17">
        <v>6</v>
      </c>
      <c r="B29" s="21">
        <v>30804436</v>
      </c>
      <c r="C29" s="21">
        <v>13813.6</v>
      </c>
      <c r="D29" s="22">
        <v>1.19</v>
      </c>
      <c r="E29" s="22">
        <v>15.59</v>
      </c>
    </row>
    <row r="30" spans="1:6" ht="16.5" customHeight="1" x14ac:dyDescent="0.3">
      <c r="A30" s="23" t="s">
        <v>18</v>
      </c>
      <c r="B30" s="24">
        <f>AVERAGE(B24:B29)</f>
        <v>30752763</v>
      </c>
      <c r="C30" s="349">
        <f>AVERAGE(C24:C29)</f>
        <v>13774.700000000003</v>
      </c>
      <c r="D30" s="26">
        <f>AVERAGE(D24:D29)</f>
        <v>1.2016666666666664</v>
      </c>
      <c r="E30" s="26">
        <f>AVERAGE(E24:E29)</f>
        <v>15.58</v>
      </c>
    </row>
    <row r="31" spans="1:6" ht="16.5" customHeight="1" x14ac:dyDescent="0.3">
      <c r="A31" s="27" t="s">
        <v>19</v>
      </c>
      <c r="B31" s="28">
        <f>(STDEV(B24:B29)/B30)</f>
        <v>2.1802000381726892E-3</v>
      </c>
      <c r="C31" s="348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COUNT(#REF!)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25">
      <c r="A45" s="17">
        <v>1</v>
      </c>
      <c r="B45" s="4">
        <v>27937524</v>
      </c>
      <c r="C45" s="4">
        <v>11627.6</v>
      </c>
      <c r="D45" s="4">
        <v>1.1000000000000001</v>
      </c>
      <c r="E45" s="4">
        <v>5.8</v>
      </c>
    </row>
    <row r="46" spans="1:6" ht="16.5" customHeight="1" x14ac:dyDescent="0.25">
      <c r="A46" s="17">
        <v>2</v>
      </c>
      <c r="B46" s="4">
        <v>27859359</v>
      </c>
      <c r="C46" s="4">
        <v>11614.6</v>
      </c>
      <c r="D46" s="4">
        <v>1.1000000000000001</v>
      </c>
      <c r="E46" s="4">
        <v>5.8</v>
      </c>
    </row>
    <row r="47" spans="1:6" ht="16.5" customHeight="1" x14ac:dyDescent="0.25">
      <c r="A47" s="17">
        <v>3</v>
      </c>
      <c r="B47" s="4">
        <v>27855252</v>
      </c>
      <c r="C47" s="4">
        <v>11668.1</v>
      </c>
      <c r="D47" s="4">
        <v>1.1000000000000001</v>
      </c>
      <c r="E47" s="4">
        <v>5.9</v>
      </c>
    </row>
    <row r="48" spans="1:6" ht="16.5" customHeight="1" x14ac:dyDescent="0.25">
      <c r="A48" s="17">
        <v>4</v>
      </c>
      <c r="B48" s="4">
        <v>27791327</v>
      </c>
      <c r="C48" s="4">
        <v>11713.8</v>
      </c>
      <c r="D48" s="4">
        <v>1.1000000000000001</v>
      </c>
      <c r="E48" s="4">
        <v>5.9</v>
      </c>
    </row>
    <row r="49" spans="1:7" ht="16.5" customHeight="1" x14ac:dyDescent="0.25">
      <c r="A49" s="17">
        <v>5</v>
      </c>
      <c r="B49" s="4">
        <v>28018690</v>
      </c>
      <c r="C49" s="4">
        <v>11646.9</v>
      </c>
      <c r="D49" s="4">
        <v>1.1000000000000001</v>
      </c>
      <c r="E49" s="4">
        <v>5.8</v>
      </c>
    </row>
    <row r="50" spans="1:7" ht="16.5" customHeight="1" x14ac:dyDescent="0.25">
      <c r="A50" s="17">
        <v>6</v>
      </c>
      <c r="B50" s="4">
        <v>27944969</v>
      </c>
      <c r="C50" s="4">
        <v>11676.9</v>
      </c>
      <c r="D50" s="4">
        <v>1.1000000000000001</v>
      </c>
      <c r="E50" s="4">
        <v>5.9</v>
      </c>
    </row>
    <row r="51" spans="1:7" ht="16.5" customHeight="1" x14ac:dyDescent="0.3">
      <c r="A51" s="23" t="s">
        <v>18</v>
      </c>
      <c r="B51" s="24"/>
      <c r="C51" s="25"/>
      <c r="D51" s="26"/>
      <c r="E51" s="26"/>
    </row>
    <row r="52" spans="1:7" ht="16.5" customHeight="1" x14ac:dyDescent="0.3">
      <c r="A52" s="27" t="s">
        <v>19</v>
      </c>
      <c r="B52" s="28"/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/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5" t="s">
        <v>26</v>
      </c>
      <c r="C59" s="29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F43" sqref="F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9" t="s">
        <v>33</v>
      </c>
      <c r="B11" s="300"/>
      <c r="C11" s="300"/>
      <c r="D11" s="300"/>
      <c r="E11" s="300"/>
      <c r="F11" s="301"/>
      <c r="G11" s="261"/>
    </row>
    <row r="12" spans="1:7" ht="16.5" customHeight="1" x14ac:dyDescent="0.3">
      <c r="A12" s="298" t="s">
        <v>118</v>
      </c>
      <c r="B12" s="298"/>
      <c r="C12" s="298"/>
      <c r="D12" s="298"/>
      <c r="E12" s="298"/>
      <c r="F12" s="298"/>
      <c r="G12" s="260"/>
    </row>
    <row r="14" spans="1:7" ht="16.5" customHeight="1" x14ac:dyDescent="0.3">
      <c r="A14" s="303" t="s">
        <v>35</v>
      </c>
      <c r="B14" s="303"/>
      <c r="C14" s="230" t="s">
        <v>5</v>
      </c>
    </row>
    <row r="15" spans="1:7" ht="16.5" customHeight="1" x14ac:dyDescent="0.3">
      <c r="A15" s="303" t="s">
        <v>36</v>
      </c>
      <c r="B15" s="303"/>
      <c r="C15" s="230" t="s">
        <v>7</v>
      </c>
    </row>
    <row r="16" spans="1:7" ht="16.5" customHeight="1" x14ac:dyDescent="0.3">
      <c r="A16" s="303" t="s">
        <v>37</v>
      </c>
      <c r="B16" s="303"/>
      <c r="C16" s="230" t="s">
        <v>9</v>
      </c>
    </row>
    <row r="17" spans="1:5" ht="16.5" customHeight="1" x14ac:dyDescent="0.3">
      <c r="A17" s="303" t="s">
        <v>38</v>
      </c>
      <c r="B17" s="303"/>
      <c r="C17" s="230" t="s">
        <v>11</v>
      </c>
    </row>
    <row r="18" spans="1:5" ht="16.5" customHeight="1" x14ac:dyDescent="0.3">
      <c r="A18" s="303" t="s">
        <v>39</v>
      </c>
      <c r="B18" s="303"/>
      <c r="C18" s="267" t="s">
        <v>12</v>
      </c>
    </row>
    <row r="19" spans="1:5" ht="16.5" customHeight="1" x14ac:dyDescent="0.3">
      <c r="A19" s="303" t="s">
        <v>40</v>
      </c>
      <c r="B19" s="303"/>
      <c r="C19" s="267" t="e">
        <f>#REF!</f>
        <v>#REF!</v>
      </c>
    </row>
    <row r="20" spans="1:5" ht="16.5" customHeight="1" x14ac:dyDescent="0.3">
      <c r="A20" s="232"/>
      <c r="B20" s="232"/>
      <c r="C20" s="247"/>
    </row>
    <row r="21" spans="1:5" ht="16.5" customHeight="1" x14ac:dyDescent="0.3">
      <c r="A21" s="298" t="s">
        <v>1</v>
      </c>
      <c r="B21" s="298"/>
      <c r="C21" s="229" t="s">
        <v>119</v>
      </c>
      <c r="D21" s="236"/>
    </row>
    <row r="22" spans="1:5" ht="15.75" customHeight="1" x14ac:dyDescent="0.3">
      <c r="A22" s="302"/>
      <c r="B22" s="302"/>
      <c r="C22" s="227"/>
      <c r="D22" s="302"/>
      <c r="E22" s="302"/>
    </row>
    <row r="23" spans="1:5" ht="33.75" customHeight="1" x14ac:dyDescent="0.3">
      <c r="C23" s="256" t="s">
        <v>120</v>
      </c>
      <c r="D23" s="255" t="s">
        <v>121</v>
      </c>
      <c r="E23" s="222"/>
    </row>
    <row r="24" spans="1:5" ht="15.75" customHeight="1" x14ac:dyDescent="0.3">
      <c r="C24" s="265">
        <v>309.04000000000002</v>
      </c>
      <c r="D24" s="257">
        <f t="shared" ref="D24:D43" si="0">(C24-$C$46)/$C$46</f>
        <v>2.3417380756235247E-3</v>
      </c>
      <c r="E24" s="223"/>
    </row>
    <row r="25" spans="1:5" ht="15.75" customHeight="1" x14ac:dyDescent="0.3">
      <c r="C25" s="265">
        <v>310.45</v>
      </c>
      <c r="D25" s="258">
        <f t="shared" si="0"/>
        <v>6.9149384726161379E-3</v>
      </c>
      <c r="E25" s="223"/>
    </row>
    <row r="26" spans="1:5" ht="15.75" customHeight="1" x14ac:dyDescent="0.3">
      <c r="C26" s="265">
        <v>308.87</v>
      </c>
      <c r="D26" s="258">
        <f t="shared" si="0"/>
        <v>1.7903593043548476E-3</v>
      </c>
      <c r="E26" s="223"/>
    </row>
    <row r="27" spans="1:5" ht="15.75" customHeight="1" x14ac:dyDescent="0.3">
      <c r="C27" s="265">
        <v>310.20999999999998</v>
      </c>
      <c r="D27" s="258">
        <f t="shared" si="0"/>
        <v>6.1365213837662842E-3</v>
      </c>
      <c r="E27" s="223"/>
    </row>
    <row r="28" spans="1:5" ht="15.75" customHeight="1" x14ac:dyDescent="0.3">
      <c r="C28" s="265">
        <v>304.89999999999998</v>
      </c>
      <c r="D28" s="258">
        <f t="shared" si="0"/>
        <v>-1.108595670703608E-2</v>
      </c>
      <c r="E28" s="223"/>
    </row>
    <row r="29" spans="1:5" ht="15.75" customHeight="1" x14ac:dyDescent="0.3">
      <c r="C29" s="265">
        <v>306.95</v>
      </c>
      <c r="D29" s="258">
        <f t="shared" si="0"/>
        <v>-4.436977406443797E-3</v>
      </c>
      <c r="E29" s="223"/>
    </row>
    <row r="30" spans="1:5" ht="15.75" customHeight="1" x14ac:dyDescent="0.3">
      <c r="C30" s="265">
        <v>306.82</v>
      </c>
      <c r="D30" s="258">
        <f t="shared" si="0"/>
        <v>-4.8586199962374369E-3</v>
      </c>
      <c r="E30" s="223"/>
    </row>
    <row r="31" spans="1:5" ht="15.75" customHeight="1" x14ac:dyDescent="0.3">
      <c r="C31" s="265">
        <v>310.19</v>
      </c>
      <c r="D31" s="258">
        <f t="shared" si="0"/>
        <v>6.0716532930288579E-3</v>
      </c>
      <c r="E31" s="223"/>
    </row>
    <row r="32" spans="1:5" ht="15.75" customHeight="1" x14ac:dyDescent="0.3">
      <c r="C32" s="265">
        <v>311.10000000000002</v>
      </c>
      <c r="D32" s="258">
        <f t="shared" si="0"/>
        <v>9.0231514215845226E-3</v>
      </c>
      <c r="E32" s="223"/>
    </row>
    <row r="33" spans="1:7" ht="15.75" customHeight="1" x14ac:dyDescent="0.3">
      <c r="C33" s="265">
        <v>309.12</v>
      </c>
      <c r="D33" s="258">
        <f t="shared" si="0"/>
        <v>2.6012104385734142E-3</v>
      </c>
      <c r="E33" s="223"/>
    </row>
    <row r="34" spans="1:7" ht="15.75" customHeight="1" x14ac:dyDescent="0.3">
      <c r="C34" s="265">
        <v>309.13</v>
      </c>
      <c r="D34" s="258">
        <f t="shared" si="0"/>
        <v>2.6336444839421273E-3</v>
      </c>
      <c r="E34" s="223"/>
    </row>
    <row r="35" spans="1:7" ht="15.75" customHeight="1" x14ac:dyDescent="0.3">
      <c r="C35" s="265">
        <v>306.89999999999998</v>
      </c>
      <c r="D35" s="258">
        <f t="shared" si="0"/>
        <v>-4.599147633287547E-3</v>
      </c>
      <c r="E35" s="223"/>
    </row>
    <row r="36" spans="1:7" ht="15.75" customHeight="1" x14ac:dyDescent="0.3">
      <c r="C36" s="265">
        <v>308.67</v>
      </c>
      <c r="D36" s="258">
        <f t="shared" si="0"/>
        <v>1.141678396980031E-3</v>
      </c>
      <c r="E36" s="223"/>
    </row>
    <row r="37" spans="1:7" ht="15.75" customHeight="1" x14ac:dyDescent="0.3">
      <c r="C37" s="265">
        <v>308.44</v>
      </c>
      <c r="D37" s="258">
        <f t="shared" si="0"/>
        <v>3.9569535349889064E-4</v>
      </c>
      <c r="E37" s="223"/>
    </row>
    <row r="38" spans="1:7" ht="15.75" customHeight="1" x14ac:dyDescent="0.3">
      <c r="C38" s="265">
        <v>309.64999999999998</v>
      </c>
      <c r="D38" s="258">
        <f t="shared" si="0"/>
        <v>4.3202148431166869E-3</v>
      </c>
      <c r="E38" s="223"/>
    </row>
    <row r="39" spans="1:7" ht="15.75" customHeight="1" x14ac:dyDescent="0.3">
      <c r="C39" s="265">
        <v>308.27</v>
      </c>
      <c r="D39" s="258">
        <f t="shared" si="0"/>
        <v>-1.5568341776978634E-4</v>
      </c>
      <c r="E39" s="223"/>
    </row>
    <row r="40" spans="1:7" ht="15.75" customHeight="1" x14ac:dyDescent="0.3">
      <c r="C40" s="265">
        <v>307.83999999999997</v>
      </c>
      <c r="D40" s="258">
        <f t="shared" si="0"/>
        <v>-1.5503473686257433E-3</v>
      </c>
      <c r="E40" s="223"/>
    </row>
    <row r="41" spans="1:7" ht="15.75" customHeight="1" x14ac:dyDescent="0.3">
      <c r="C41" s="265">
        <v>306.82</v>
      </c>
      <c r="D41" s="258">
        <f t="shared" si="0"/>
        <v>-4.8586199962374369E-3</v>
      </c>
      <c r="E41" s="223"/>
    </row>
    <row r="42" spans="1:7" ht="15.75" customHeight="1" x14ac:dyDescent="0.3">
      <c r="C42" s="265">
        <v>304.24</v>
      </c>
      <c r="D42" s="258">
        <f t="shared" si="0"/>
        <v>-1.3226603701372994E-2</v>
      </c>
      <c r="E42" s="223"/>
    </row>
    <row r="43" spans="1:7" ht="16.5" customHeight="1" x14ac:dyDescent="0.3">
      <c r="C43" s="266">
        <v>308.75</v>
      </c>
      <c r="D43" s="259">
        <f t="shared" si="0"/>
        <v>1.4011507599299207E-3</v>
      </c>
      <c r="E43" s="223"/>
    </row>
    <row r="44" spans="1:7" ht="16.5" customHeight="1" x14ac:dyDescent="0.3">
      <c r="C44" s="224"/>
      <c r="D44" s="223"/>
      <c r="E44" s="225"/>
    </row>
    <row r="45" spans="1:7" ht="16.5" customHeight="1" x14ac:dyDescent="0.3">
      <c r="B45" s="252" t="s">
        <v>122</v>
      </c>
      <c r="C45" s="253">
        <f>SUM(C24:C44)</f>
        <v>6166.3599999999988</v>
      </c>
      <c r="D45" s="248"/>
      <c r="E45" s="224"/>
    </row>
    <row r="46" spans="1:7" ht="17.25" customHeight="1" x14ac:dyDescent="0.3">
      <c r="B46" s="252" t="s">
        <v>123</v>
      </c>
      <c r="C46" s="254">
        <f>AVERAGE(C24:C44)</f>
        <v>308.31799999999993</v>
      </c>
      <c r="E46" s="226"/>
    </row>
    <row r="47" spans="1:7" ht="17.25" customHeight="1" x14ac:dyDescent="0.3">
      <c r="A47" s="230"/>
      <c r="B47" s="249"/>
      <c r="D47" s="228"/>
      <c r="E47" s="226"/>
    </row>
    <row r="48" spans="1:7" ht="33.75" customHeight="1" x14ac:dyDescent="0.3">
      <c r="B48" s="262" t="s">
        <v>123</v>
      </c>
      <c r="C48" s="255" t="s">
        <v>124</v>
      </c>
      <c r="D48" s="250"/>
      <c r="G48" s="228"/>
    </row>
    <row r="49" spans="1:6" ht="17.25" customHeight="1" x14ac:dyDescent="0.3">
      <c r="B49" s="296">
        <f>C46</f>
        <v>308.31799999999993</v>
      </c>
      <c r="C49" s="263">
        <f>-IF(C46&lt;=80,10%,IF(C46&lt;250,7.5%,5%))</f>
        <v>-0.05</v>
      </c>
      <c r="D49" s="251">
        <f>IF(C46&lt;=80,C46*0.9,IF(C46&lt;250,C46*0.925,C46*0.95))</f>
        <v>292.9020999999999</v>
      </c>
    </row>
    <row r="50" spans="1:6" ht="17.25" customHeight="1" x14ac:dyDescent="0.3">
      <c r="B50" s="297"/>
      <c r="C50" s="264">
        <f>IF(C46&lt;=80, 10%, IF(C46&lt;250, 7.5%, 5%))</f>
        <v>0.05</v>
      </c>
      <c r="D50" s="251">
        <f>IF(C46&lt;=80, C46*1.1, IF(C46&lt;250, C46*1.075, C46*1.05))</f>
        <v>323.73389999999995</v>
      </c>
    </row>
    <row r="51" spans="1:6" ht="16.5" customHeight="1" x14ac:dyDescent="0.3">
      <c r="A51" s="233"/>
      <c r="B51" s="234"/>
      <c r="C51" s="230"/>
      <c r="D51" s="235"/>
      <c r="E51" s="230"/>
      <c r="F51" s="236"/>
    </row>
    <row r="52" spans="1:6" ht="16.5" customHeight="1" x14ac:dyDescent="0.3">
      <c r="A52" s="230"/>
      <c r="B52" s="237" t="s">
        <v>26</v>
      </c>
      <c r="C52" s="237"/>
      <c r="D52" s="238" t="s">
        <v>27</v>
      </c>
      <c r="E52" s="239"/>
      <c r="F52" s="238" t="s">
        <v>28</v>
      </c>
    </row>
    <row r="53" spans="1:6" ht="34.5" customHeight="1" x14ac:dyDescent="0.3">
      <c r="A53" s="240" t="s">
        <v>29</v>
      </c>
      <c r="B53" s="241"/>
      <c r="C53" s="242"/>
      <c r="D53" s="241"/>
      <c r="E53" s="231"/>
      <c r="F53" s="243"/>
    </row>
    <row r="54" spans="1:6" ht="34.5" customHeight="1" x14ac:dyDescent="0.3">
      <c r="A54" s="240" t="s">
        <v>30</v>
      </c>
      <c r="B54" s="244"/>
      <c r="C54" s="245"/>
      <c r="D54" s="244"/>
      <c r="E54" s="231"/>
      <c r="F54" s="24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8" zoomScale="20" zoomScaleNormal="40" zoomScaleSheetLayoutView="20" zoomScalePageLayoutView="60" workbookViewId="0">
      <selection activeCell="H111" sqref="H11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8.5703125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104.5703125" style="2" customWidth="1"/>
  </cols>
  <sheetData>
    <row r="1" spans="1:9" ht="18.75" customHeight="1" x14ac:dyDescent="0.25">
      <c r="A1" s="329" t="s">
        <v>31</v>
      </c>
      <c r="B1" s="329"/>
      <c r="C1" s="329"/>
      <c r="D1" s="329"/>
      <c r="E1" s="329"/>
      <c r="F1" s="329"/>
      <c r="G1" s="329"/>
      <c r="H1" s="329"/>
      <c r="I1" s="329"/>
    </row>
    <row r="2" spans="1:9" ht="18.75" customHeight="1" x14ac:dyDescent="0.25">
      <c r="A2" s="329"/>
      <c r="B2" s="329"/>
      <c r="C2" s="329"/>
      <c r="D2" s="329"/>
      <c r="E2" s="329"/>
      <c r="F2" s="329"/>
      <c r="G2" s="329"/>
      <c r="H2" s="329"/>
      <c r="I2" s="329"/>
    </row>
    <row r="3" spans="1:9" ht="18.75" customHeight="1" x14ac:dyDescent="0.25">
      <c r="A3" s="329"/>
      <c r="B3" s="329"/>
      <c r="C3" s="329"/>
      <c r="D3" s="329"/>
      <c r="E3" s="329"/>
      <c r="F3" s="329"/>
      <c r="G3" s="329"/>
      <c r="H3" s="329"/>
      <c r="I3" s="329"/>
    </row>
    <row r="4" spans="1:9" ht="18.75" customHeight="1" x14ac:dyDescent="0.25">
      <c r="A4" s="329"/>
      <c r="B4" s="329"/>
      <c r="C4" s="329"/>
      <c r="D4" s="329"/>
      <c r="E4" s="329"/>
      <c r="F4" s="329"/>
      <c r="G4" s="329"/>
      <c r="H4" s="329"/>
      <c r="I4" s="329"/>
    </row>
    <row r="5" spans="1:9" ht="18.75" customHeight="1" x14ac:dyDescent="0.25">
      <c r="A5" s="329"/>
      <c r="B5" s="329"/>
      <c r="C5" s="329"/>
      <c r="D5" s="329"/>
      <c r="E5" s="329"/>
      <c r="F5" s="329"/>
      <c r="G5" s="329"/>
      <c r="H5" s="329"/>
      <c r="I5" s="329"/>
    </row>
    <row r="6" spans="1:9" ht="18.75" customHeight="1" x14ac:dyDescent="0.25">
      <c r="A6" s="329"/>
      <c r="B6" s="329"/>
      <c r="C6" s="329"/>
      <c r="D6" s="329"/>
      <c r="E6" s="329"/>
      <c r="F6" s="329"/>
      <c r="G6" s="329"/>
      <c r="H6" s="329"/>
      <c r="I6" s="329"/>
    </row>
    <row r="7" spans="1:9" ht="18.75" customHeight="1" x14ac:dyDescent="0.25">
      <c r="A7" s="329"/>
      <c r="B7" s="329"/>
      <c r="C7" s="329"/>
      <c r="D7" s="329"/>
      <c r="E7" s="329"/>
      <c r="F7" s="329"/>
      <c r="G7" s="329"/>
      <c r="H7" s="329"/>
      <c r="I7" s="329"/>
    </row>
    <row r="8" spans="1:9" x14ac:dyDescent="0.25">
      <c r="A8" s="330" t="s">
        <v>32</v>
      </c>
      <c r="B8" s="330"/>
      <c r="C8" s="330"/>
      <c r="D8" s="330"/>
      <c r="E8" s="330"/>
      <c r="F8" s="330"/>
      <c r="G8" s="330"/>
      <c r="H8" s="330"/>
      <c r="I8" s="330"/>
    </row>
    <row r="9" spans="1:9" x14ac:dyDescent="0.25">
      <c r="A9" s="330"/>
      <c r="B9" s="330"/>
      <c r="C9" s="330"/>
      <c r="D9" s="330"/>
      <c r="E9" s="330"/>
      <c r="F9" s="330"/>
      <c r="G9" s="330"/>
      <c r="H9" s="330"/>
      <c r="I9" s="330"/>
    </row>
    <row r="10" spans="1:9" x14ac:dyDescent="0.25">
      <c r="A10" s="330"/>
      <c r="B10" s="330"/>
      <c r="C10" s="330"/>
      <c r="D10" s="330"/>
      <c r="E10" s="330"/>
      <c r="F10" s="330"/>
      <c r="G10" s="330"/>
      <c r="H10" s="330"/>
      <c r="I10" s="330"/>
    </row>
    <row r="11" spans="1:9" x14ac:dyDescent="0.25">
      <c r="A11" s="330"/>
      <c r="B11" s="330"/>
      <c r="C11" s="330"/>
      <c r="D11" s="330"/>
      <c r="E11" s="330"/>
      <c r="F11" s="330"/>
      <c r="G11" s="330"/>
      <c r="H11" s="330"/>
      <c r="I11" s="330"/>
    </row>
    <row r="12" spans="1:9" x14ac:dyDescent="0.25">
      <c r="A12" s="330"/>
      <c r="B12" s="330"/>
      <c r="C12" s="330"/>
      <c r="D12" s="330"/>
      <c r="E12" s="330"/>
      <c r="F12" s="330"/>
      <c r="G12" s="330"/>
      <c r="H12" s="330"/>
      <c r="I12" s="330"/>
    </row>
    <row r="13" spans="1:9" x14ac:dyDescent="0.25">
      <c r="A13" s="330"/>
      <c r="B13" s="330"/>
      <c r="C13" s="330"/>
      <c r="D13" s="330"/>
      <c r="E13" s="330"/>
      <c r="F13" s="330"/>
      <c r="G13" s="330"/>
      <c r="H13" s="330"/>
      <c r="I13" s="330"/>
    </row>
    <row r="14" spans="1:9" x14ac:dyDescent="0.25">
      <c r="A14" s="330"/>
      <c r="B14" s="330"/>
      <c r="C14" s="330"/>
      <c r="D14" s="330"/>
      <c r="E14" s="330"/>
      <c r="F14" s="330"/>
      <c r="G14" s="330"/>
      <c r="H14" s="330"/>
      <c r="I14" s="330"/>
    </row>
    <row r="15" spans="1:9" ht="19.5" customHeight="1" x14ac:dyDescent="0.3">
      <c r="A15" s="52"/>
    </row>
    <row r="16" spans="1:9" ht="19.5" customHeight="1" x14ac:dyDescent="0.3">
      <c r="A16" s="305" t="s">
        <v>33</v>
      </c>
      <c r="B16" s="306"/>
      <c r="C16" s="306"/>
      <c r="D16" s="306"/>
      <c r="E16" s="306"/>
      <c r="F16" s="306"/>
      <c r="G16" s="306"/>
      <c r="H16" s="307"/>
    </row>
    <row r="17" spans="1:14" ht="20.25" customHeight="1" x14ac:dyDescent="0.25">
      <c r="A17" s="308" t="s">
        <v>34</v>
      </c>
      <c r="B17" s="308"/>
      <c r="C17" s="308"/>
      <c r="D17" s="308"/>
      <c r="E17" s="308"/>
      <c r="F17" s="308"/>
      <c r="G17" s="308"/>
      <c r="H17" s="308"/>
    </row>
    <row r="18" spans="1:14" ht="26.25" customHeight="1" x14ac:dyDescent="0.4">
      <c r="A18" s="54" t="s">
        <v>35</v>
      </c>
      <c r="B18" s="304" t="s">
        <v>5</v>
      </c>
      <c r="C18" s="304"/>
      <c r="D18" s="213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7</v>
      </c>
      <c r="C19" s="215">
        <v>21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309" t="s">
        <v>9</v>
      </c>
      <c r="C20" s="309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309" t="s">
        <v>11</v>
      </c>
      <c r="C21" s="309"/>
      <c r="D21" s="309"/>
      <c r="E21" s="309"/>
      <c r="F21" s="309"/>
      <c r="G21" s="309"/>
      <c r="H21" s="309"/>
      <c r="I21" s="58"/>
    </row>
    <row r="22" spans="1:14" ht="26.25" customHeight="1" x14ac:dyDescent="0.4">
      <c r="A22" s="54" t="s">
        <v>39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304" t="s">
        <v>125</v>
      </c>
      <c r="C26" s="304"/>
    </row>
    <row r="27" spans="1:14" ht="26.25" customHeight="1" x14ac:dyDescent="0.4">
      <c r="A27" s="63" t="s">
        <v>41</v>
      </c>
      <c r="B27" s="310"/>
      <c r="C27" s="310"/>
    </row>
    <row r="28" spans="1:14" ht="27" customHeight="1" x14ac:dyDescent="0.4">
      <c r="A28" s="63" t="s">
        <v>6</v>
      </c>
      <c r="B28" s="64">
        <v>99.8</v>
      </c>
    </row>
    <row r="29" spans="1:14" s="15" customFormat="1" ht="27" customHeight="1" x14ac:dyDescent="0.4">
      <c r="A29" s="63" t="s">
        <v>42</v>
      </c>
      <c r="B29" s="65"/>
      <c r="C29" s="311" t="s">
        <v>43</v>
      </c>
      <c r="D29" s="311"/>
      <c r="E29" s="311"/>
      <c r="F29" s="311"/>
      <c r="G29" s="311"/>
      <c r="H29" s="280"/>
      <c r="I29" s="66"/>
      <c r="J29" s="66"/>
      <c r="K29" s="66"/>
      <c r="L29" s="66"/>
    </row>
    <row r="30" spans="1:14" s="15" customFormat="1" ht="19.5" customHeight="1" x14ac:dyDescent="0.3">
      <c r="A30" s="63" t="s">
        <v>44</v>
      </c>
      <c r="B30" s="67">
        <f>B28-B29</f>
        <v>99.8</v>
      </c>
      <c r="C30" s="290"/>
      <c r="D30" s="290"/>
      <c r="E30" s="290"/>
      <c r="F30" s="290"/>
      <c r="G30" s="291"/>
      <c r="H30" s="280"/>
      <c r="I30" s="66"/>
      <c r="J30" s="66"/>
      <c r="K30" s="66"/>
      <c r="L30" s="66"/>
    </row>
    <row r="31" spans="1:14" s="15" customFormat="1" ht="27" customHeight="1" x14ac:dyDescent="0.4">
      <c r="A31" s="63" t="s">
        <v>45</v>
      </c>
      <c r="B31" s="70">
        <v>419.38</v>
      </c>
      <c r="C31" s="312" t="s">
        <v>46</v>
      </c>
      <c r="D31" s="312"/>
      <c r="E31" s="312"/>
      <c r="F31" s="312"/>
      <c r="G31" s="312"/>
      <c r="H31" s="312"/>
      <c r="I31" s="66"/>
      <c r="J31" s="66"/>
      <c r="K31" s="66"/>
      <c r="L31" s="66"/>
    </row>
    <row r="32" spans="1:14" s="15" customFormat="1" ht="27" customHeight="1" x14ac:dyDescent="0.4">
      <c r="A32" s="63" t="s">
        <v>47</v>
      </c>
      <c r="B32" s="70">
        <v>441.36</v>
      </c>
      <c r="C32" s="312" t="s">
        <v>48</v>
      </c>
      <c r="D32" s="312"/>
      <c r="E32" s="312"/>
      <c r="F32" s="312"/>
      <c r="G32" s="312"/>
      <c r="H32" s="312"/>
      <c r="I32" s="66"/>
      <c r="J32" s="66"/>
      <c r="K32" s="66"/>
      <c r="L32" s="71"/>
      <c r="M32" s="71"/>
      <c r="N32" s="72"/>
    </row>
    <row r="33" spans="1:14" s="15" customFormat="1" ht="17.25" customHeight="1" x14ac:dyDescent="0.3">
      <c r="A33" s="63"/>
      <c r="B33" s="73"/>
      <c r="C33" s="74"/>
      <c r="D33" s="74"/>
      <c r="E33" s="74"/>
      <c r="F33" s="74"/>
      <c r="G33" s="74"/>
      <c r="H33" s="284"/>
      <c r="I33" s="66"/>
      <c r="J33" s="66"/>
      <c r="K33" s="66"/>
      <c r="L33" s="71"/>
      <c r="M33" s="71"/>
      <c r="N33" s="72"/>
    </row>
    <row r="34" spans="1:14" s="15" customFormat="1" ht="18.75" x14ac:dyDescent="0.3">
      <c r="A34" s="63" t="s">
        <v>49</v>
      </c>
      <c r="B34" s="75">
        <f>B31/B32</f>
        <v>0.9501993837230378</v>
      </c>
      <c r="C34" s="293" t="s">
        <v>50</v>
      </c>
      <c r="D34" s="53"/>
      <c r="E34" s="53"/>
      <c r="F34" s="53"/>
      <c r="G34" s="53"/>
      <c r="H34" s="280"/>
      <c r="I34" s="66"/>
      <c r="J34" s="66"/>
      <c r="K34" s="66"/>
      <c r="L34" s="71"/>
      <c r="M34" s="71"/>
      <c r="N34" s="72"/>
    </row>
    <row r="35" spans="1:14" s="15" customFormat="1" ht="19.5" customHeight="1" thickBot="1" x14ac:dyDescent="0.35">
      <c r="A35" s="63"/>
      <c r="B35" s="67"/>
      <c r="C35" s="280"/>
      <c r="D35" s="280"/>
      <c r="E35" s="280"/>
      <c r="F35" s="280"/>
      <c r="G35" s="53"/>
      <c r="H35" s="280"/>
      <c r="I35" s="66"/>
      <c r="J35" s="66"/>
      <c r="K35" s="66"/>
      <c r="L35" s="71"/>
      <c r="M35" s="71"/>
      <c r="N35" s="72"/>
    </row>
    <row r="36" spans="1:14" s="15" customFormat="1" ht="27" customHeight="1" thickBot="1" x14ac:dyDescent="0.45">
      <c r="A36" s="76" t="s">
        <v>51</v>
      </c>
      <c r="B36" s="77">
        <v>50</v>
      </c>
      <c r="C36" s="292"/>
      <c r="D36" s="313" t="s">
        <v>52</v>
      </c>
      <c r="E36" s="314"/>
      <c r="F36" s="313" t="s">
        <v>53</v>
      </c>
      <c r="G36" s="315"/>
      <c r="H36" s="280"/>
      <c r="I36" s="281"/>
      <c r="J36" s="66"/>
      <c r="K36" s="66"/>
      <c r="L36" s="71"/>
      <c r="M36" s="71"/>
      <c r="N36" s="72"/>
    </row>
    <row r="37" spans="1:14" s="15" customFormat="1" ht="27" customHeight="1" thickBot="1" x14ac:dyDescent="0.45">
      <c r="A37" s="78" t="s">
        <v>54</v>
      </c>
      <c r="B37" s="79">
        <v>5</v>
      </c>
      <c r="C37" s="80" t="s">
        <v>55</v>
      </c>
      <c r="D37" s="81" t="s">
        <v>56</v>
      </c>
      <c r="E37" s="82" t="s">
        <v>57</v>
      </c>
      <c r="F37" s="81" t="s">
        <v>56</v>
      </c>
      <c r="G37" s="285" t="s">
        <v>57</v>
      </c>
      <c r="H37" s="280"/>
      <c r="I37" s="282" t="s">
        <v>58</v>
      </c>
      <c r="J37" s="66"/>
      <c r="K37" s="66"/>
      <c r="L37" s="71"/>
      <c r="M37" s="71"/>
      <c r="N37" s="72"/>
    </row>
    <row r="38" spans="1:14" s="15" customFormat="1" ht="26.25" customHeight="1" x14ac:dyDescent="0.4">
      <c r="A38" s="78" t="s">
        <v>59</v>
      </c>
      <c r="B38" s="79">
        <v>50</v>
      </c>
      <c r="C38" s="84">
        <v>1</v>
      </c>
      <c r="D38" s="85">
        <v>30869168</v>
      </c>
      <c r="E38" s="272">
        <f>IF(ISBLANK(D38),"-",$D$48/$D$45*D38)</f>
        <v>29189514.924724124</v>
      </c>
      <c r="F38" s="85">
        <v>32644890</v>
      </c>
      <c r="G38" s="286">
        <f>IF(ISBLANK(F38),"-",$D$48/$F$45*F38)</f>
        <v>28841053.072695401</v>
      </c>
      <c r="H38" s="280"/>
      <c r="I38" s="283"/>
      <c r="J38" s="66"/>
      <c r="K38" s="66"/>
      <c r="L38" s="71"/>
      <c r="M38" s="71"/>
      <c r="N38" s="72"/>
    </row>
    <row r="39" spans="1:14" s="15" customFormat="1" ht="26.25" customHeight="1" x14ac:dyDescent="0.4">
      <c r="A39" s="78" t="s">
        <v>60</v>
      </c>
      <c r="B39" s="79">
        <v>1</v>
      </c>
      <c r="C39" s="87">
        <v>2</v>
      </c>
      <c r="D39" s="88">
        <v>30892031</v>
      </c>
      <c r="E39" s="273">
        <f>IF(ISBLANK(D39),"-",$D$48/$D$45*D39)</f>
        <v>29211133.9032377</v>
      </c>
      <c r="F39" s="88">
        <v>32699044</v>
      </c>
      <c r="G39" s="287">
        <f>IF(ISBLANK(F39),"-",$D$48/$F$45*F39)</f>
        <v>28888896.958464313</v>
      </c>
      <c r="H39" s="280"/>
      <c r="I39" s="317">
        <f>ABS((F43/D43*D42)-F42)/D42</f>
        <v>1.0496427587893528E-2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61</v>
      </c>
      <c r="B40" s="79">
        <v>1</v>
      </c>
      <c r="C40" s="87">
        <v>3</v>
      </c>
      <c r="D40" s="88">
        <v>30989234</v>
      </c>
      <c r="E40" s="273">
        <f>IF(ISBLANK(D40),"-",$D$48/$D$45*D40)</f>
        <v>29303047.893897504</v>
      </c>
      <c r="F40" s="88">
        <v>32953426</v>
      </c>
      <c r="G40" s="287">
        <f>IF(ISBLANK(F40),"-",$D$48/$F$45*F40)</f>
        <v>29113637.944350265</v>
      </c>
      <c r="I40" s="318"/>
      <c r="L40" s="71"/>
      <c r="M40" s="71"/>
      <c r="N40" s="89"/>
    </row>
    <row r="41" spans="1:14" ht="27" customHeight="1" x14ac:dyDescent="0.4">
      <c r="A41" s="78" t="s">
        <v>62</v>
      </c>
      <c r="B41" s="79">
        <v>1</v>
      </c>
      <c r="C41" s="90">
        <v>4</v>
      </c>
      <c r="D41" s="91"/>
      <c r="E41" s="274" t="str">
        <f>IF(ISBLANK(D41),"-",$D$48/$D$45*D41)</f>
        <v>-</v>
      </c>
      <c r="F41" s="91"/>
      <c r="G41" s="288" t="str">
        <f>IF(ISBLANK(F41),"-",$D$48/$F$45*F41)</f>
        <v>-</v>
      </c>
      <c r="I41" s="92"/>
      <c r="L41" s="71"/>
      <c r="M41" s="71"/>
      <c r="N41" s="89"/>
    </row>
    <row r="42" spans="1:14" ht="27" customHeight="1" x14ac:dyDescent="0.4">
      <c r="A42" s="78" t="s">
        <v>63</v>
      </c>
      <c r="B42" s="79">
        <v>1</v>
      </c>
      <c r="C42" s="93" t="s">
        <v>64</v>
      </c>
      <c r="D42" s="94">
        <f>AVERAGE(D38:D41)</f>
        <v>30916811</v>
      </c>
      <c r="E42" s="278">
        <f>AVERAGE(E38:E41)</f>
        <v>29234565.573953111</v>
      </c>
      <c r="F42" s="94">
        <f>AVERAGE(F38:F41)</f>
        <v>32765786.666666668</v>
      </c>
      <c r="G42" s="289">
        <f>AVERAGE(G38:G41)</f>
        <v>28947862.658503324</v>
      </c>
      <c r="H42" s="95"/>
    </row>
    <row r="43" spans="1:14" ht="26.25" customHeight="1" x14ac:dyDescent="0.4">
      <c r="A43" s="78" t="s">
        <v>65</v>
      </c>
      <c r="B43" s="79">
        <v>1</v>
      </c>
      <c r="C43" s="96" t="s">
        <v>66</v>
      </c>
      <c r="D43" s="97">
        <v>27.88</v>
      </c>
      <c r="E43" s="89"/>
      <c r="F43" s="97">
        <v>29.84</v>
      </c>
      <c r="H43" s="95"/>
    </row>
    <row r="44" spans="1:14" ht="26.25" customHeight="1" x14ac:dyDescent="0.4">
      <c r="A44" s="78" t="s">
        <v>67</v>
      </c>
      <c r="B44" s="79">
        <v>1</v>
      </c>
      <c r="C44" s="98" t="s">
        <v>68</v>
      </c>
      <c r="D44" s="99">
        <f>D43*$B$34</f>
        <v>26.491558818198293</v>
      </c>
      <c r="E44" s="100"/>
      <c r="F44" s="99">
        <f>F43*$B$34</f>
        <v>28.353949610295448</v>
      </c>
      <c r="H44" s="95"/>
    </row>
    <row r="45" spans="1:14" ht="19.5" customHeight="1" x14ac:dyDescent="0.3">
      <c r="A45" s="78" t="s">
        <v>69</v>
      </c>
      <c r="B45" s="101">
        <f>(B44/B43)*(B42/B41)*(B40/B39)*(B38/B37)*B36</f>
        <v>500</v>
      </c>
      <c r="C45" s="98" t="s">
        <v>70</v>
      </c>
      <c r="D45" s="102">
        <f>D44*$B$30/100</f>
        <v>26.438575700561895</v>
      </c>
      <c r="E45" s="103"/>
      <c r="F45" s="102">
        <f>F44*$B$30/100</f>
        <v>28.297241711074857</v>
      </c>
      <c r="H45" s="95"/>
    </row>
    <row r="46" spans="1:14" ht="19.5" customHeight="1" x14ac:dyDescent="0.3">
      <c r="A46" s="319" t="s">
        <v>71</v>
      </c>
      <c r="B46" s="320"/>
      <c r="C46" s="98" t="s">
        <v>72</v>
      </c>
      <c r="D46" s="104">
        <f>D45/$B$45</f>
        <v>5.2877151401123791E-2</v>
      </c>
      <c r="E46" s="105"/>
      <c r="F46" s="106">
        <f>F45/$B$45</f>
        <v>5.6594483422149712E-2</v>
      </c>
      <c r="H46" s="95"/>
    </row>
    <row r="47" spans="1:14" ht="27" customHeight="1" x14ac:dyDescent="0.4">
      <c r="A47" s="321"/>
      <c r="B47" s="322"/>
      <c r="C47" s="107" t="s">
        <v>73</v>
      </c>
      <c r="D47" s="108">
        <v>0.05</v>
      </c>
      <c r="E47" s="109"/>
      <c r="F47" s="105"/>
      <c r="H47" s="95"/>
    </row>
    <row r="48" spans="1:14" ht="18.75" x14ac:dyDescent="0.3">
      <c r="C48" s="110" t="s">
        <v>74</v>
      </c>
      <c r="D48" s="102">
        <f>D47*$B$45</f>
        <v>25</v>
      </c>
      <c r="F48" s="111"/>
      <c r="H48" s="95"/>
    </row>
    <row r="49" spans="1:12" ht="19.5" customHeight="1" x14ac:dyDescent="0.3">
      <c r="C49" s="112" t="s">
        <v>75</v>
      </c>
      <c r="D49" s="113">
        <f>D48/B34</f>
        <v>26.310267537793887</v>
      </c>
      <c r="F49" s="111"/>
      <c r="H49" s="95"/>
    </row>
    <row r="50" spans="1:12" ht="18.75" x14ac:dyDescent="0.3">
      <c r="C50" s="76" t="s">
        <v>76</v>
      </c>
      <c r="D50" s="114">
        <f>AVERAGE(E38:E41,G38:G41)</f>
        <v>29091214.116228223</v>
      </c>
      <c r="F50" s="115"/>
      <c r="H50" s="95"/>
    </row>
    <row r="51" spans="1:12" ht="18.75" x14ac:dyDescent="0.3">
      <c r="C51" s="78" t="s">
        <v>77</v>
      </c>
      <c r="D51" s="116">
        <f>STDEV(E38:E41,G38:G41)/D50</f>
        <v>6.3928135876923581E-3</v>
      </c>
      <c r="F51" s="115"/>
      <c r="H51" s="95"/>
    </row>
    <row r="52" spans="1:12" ht="19.5" customHeight="1" x14ac:dyDescent="0.3">
      <c r="C52" s="117" t="s">
        <v>20</v>
      </c>
      <c r="D52" s="118">
        <f>COUNT(E38:E41,G38:G41)</f>
        <v>6</v>
      </c>
      <c r="F52" s="115"/>
    </row>
    <row r="54" spans="1:12" ht="18.75" x14ac:dyDescent="0.3">
      <c r="A54" s="119" t="s">
        <v>1</v>
      </c>
      <c r="B54" s="120" t="s">
        <v>78</v>
      </c>
    </row>
    <row r="55" spans="1:12" ht="18.75" x14ac:dyDescent="0.3">
      <c r="A55" s="53" t="s">
        <v>79</v>
      </c>
      <c r="B55" s="121" t="str">
        <f>B21</f>
        <v>each tablets contains dolutegravir sodium equivalent to dolutegravir 50mg.</v>
      </c>
    </row>
    <row r="56" spans="1:12" ht="26.25" customHeight="1" x14ac:dyDescent="0.4">
      <c r="A56" s="122" t="s">
        <v>80</v>
      </c>
      <c r="B56" s="123">
        <v>50</v>
      </c>
      <c r="C56" s="53" t="str">
        <f>B20</f>
        <v>Dolutegravir sodium equivalent to Dolutegravir 50mg.</v>
      </c>
      <c r="H56" s="124"/>
    </row>
    <row r="57" spans="1:12" ht="18.75" x14ac:dyDescent="0.3">
      <c r="A57" s="121" t="s">
        <v>81</v>
      </c>
      <c r="B57" s="214">
        <f>Uniformity!C46</f>
        <v>308.31799999999993</v>
      </c>
      <c r="H57" s="124"/>
    </row>
    <row r="58" spans="1:12" ht="19.5" customHeight="1" x14ac:dyDescent="0.3">
      <c r="H58" s="124"/>
    </row>
    <row r="59" spans="1:12" s="15" customFormat="1" ht="27" customHeight="1" x14ac:dyDescent="0.4">
      <c r="A59" s="76" t="s">
        <v>82</v>
      </c>
      <c r="B59" s="77">
        <v>100</v>
      </c>
      <c r="C59" s="53"/>
      <c r="D59" s="125" t="s">
        <v>83</v>
      </c>
      <c r="E59" s="126" t="s">
        <v>55</v>
      </c>
      <c r="F59" s="126" t="s">
        <v>56</v>
      </c>
      <c r="G59" s="126" t="s">
        <v>84</v>
      </c>
      <c r="H59" s="80" t="s">
        <v>85</v>
      </c>
      <c r="J59" s="280"/>
      <c r="K59" s="280"/>
      <c r="L59" s="66"/>
    </row>
    <row r="60" spans="1:12" s="15" customFormat="1" ht="26.25" customHeight="1" x14ac:dyDescent="0.4">
      <c r="A60" s="78" t="s">
        <v>86</v>
      </c>
      <c r="B60" s="79">
        <v>5</v>
      </c>
      <c r="C60" s="323" t="s">
        <v>87</v>
      </c>
      <c r="D60" s="326">
        <v>307.27999999999997</v>
      </c>
      <c r="E60" s="127">
        <v>1</v>
      </c>
      <c r="F60" s="128">
        <v>28623520</v>
      </c>
      <c r="G60" s="216">
        <f>IF(ISBLANK(F60),"-",(F60/$D$50*$D$47*$B$68)*($B$57/$D$60))</f>
        <v>49.362345098297283</v>
      </c>
      <c r="H60" s="129">
        <f t="shared" ref="H60:H71" si="0">IF(ISBLANK(F60),"-",G60/$B$56)</f>
        <v>0.98724690196594567</v>
      </c>
      <c r="J60" s="280"/>
      <c r="K60" s="280"/>
      <c r="L60" s="66"/>
    </row>
    <row r="61" spans="1:12" s="15" customFormat="1" ht="26.25" customHeight="1" x14ac:dyDescent="0.4">
      <c r="A61" s="78" t="s">
        <v>88</v>
      </c>
      <c r="B61" s="79">
        <v>50</v>
      </c>
      <c r="C61" s="324"/>
      <c r="D61" s="327"/>
      <c r="E61" s="130">
        <v>2</v>
      </c>
      <c r="F61" s="88">
        <v>28597499</v>
      </c>
      <c r="G61" s="217">
        <f>IF(ISBLANK(F61),"-",(F61/$D$50*$D$47*$B$68)*($B$57/$D$60))</f>
        <v>49.317470897576939</v>
      </c>
      <c r="H61" s="131">
        <f t="shared" si="0"/>
        <v>0.98634941795153874</v>
      </c>
      <c r="J61" s="280"/>
      <c r="K61" s="280"/>
      <c r="L61" s="66"/>
    </row>
    <row r="62" spans="1:12" s="15" customFormat="1" ht="26.25" customHeight="1" x14ac:dyDescent="0.4">
      <c r="A62" s="78" t="s">
        <v>89</v>
      </c>
      <c r="B62" s="79">
        <v>1</v>
      </c>
      <c r="C62" s="324"/>
      <c r="D62" s="327"/>
      <c r="E62" s="130">
        <v>3</v>
      </c>
      <c r="F62" s="132">
        <v>28792069</v>
      </c>
      <c r="G62" s="217">
        <f>IF(ISBLANK(F62),"-",(F62/$D$50*$D$47*$B$68)*($B$57/$D$60))</f>
        <v>49.653014236962719</v>
      </c>
      <c r="H62" s="131">
        <f t="shared" si="0"/>
        <v>0.99306028473925434</v>
      </c>
      <c r="J62" s="280"/>
      <c r="K62" s="280"/>
      <c r="L62" s="66"/>
    </row>
    <row r="63" spans="1:12" ht="27" customHeight="1" x14ac:dyDescent="0.4">
      <c r="A63" s="78" t="s">
        <v>90</v>
      </c>
      <c r="B63" s="79">
        <v>1</v>
      </c>
      <c r="C63" s="325"/>
      <c r="D63" s="328"/>
      <c r="E63" s="133">
        <v>4</v>
      </c>
      <c r="F63" s="134"/>
      <c r="G63" s="217" t="str">
        <f>IF(ISBLANK(F63),"-",(F63/$D$50*$D$47*$B$68)*($B$57/$D$60))</f>
        <v>-</v>
      </c>
      <c r="H63" s="131" t="str">
        <f t="shared" si="0"/>
        <v>-</v>
      </c>
    </row>
    <row r="64" spans="1:12" ht="26.25" customHeight="1" x14ac:dyDescent="0.4">
      <c r="A64" s="78" t="s">
        <v>91</v>
      </c>
      <c r="B64" s="79">
        <v>1</v>
      </c>
      <c r="C64" s="323" t="s">
        <v>92</v>
      </c>
      <c r="D64" s="326">
        <v>310.86</v>
      </c>
      <c r="E64" s="127">
        <v>1</v>
      </c>
      <c r="F64" s="128">
        <v>29226172</v>
      </c>
      <c r="G64" s="218">
        <f>IF(ISBLANK(F64),"-",(F64/$D$50*$D$47*$B$68)*($B$57/$D$64))</f>
        <v>49.821193922581323</v>
      </c>
      <c r="H64" s="135">
        <f t="shared" si="0"/>
        <v>0.9964238784516265</v>
      </c>
    </row>
    <row r="65" spans="1:8" ht="26.25" customHeight="1" x14ac:dyDescent="0.4">
      <c r="A65" s="78" t="s">
        <v>93</v>
      </c>
      <c r="B65" s="79">
        <v>1</v>
      </c>
      <c r="C65" s="324"/>
      <c r="D65" s="327"/>
      <c r="E65" s="130">
        <v>2</v>
      </c>
      <c r="F65" s="88">
        <v>29284708</v>
      </c>
      <c r="G65" s="219">
        <f>IF(ISBLANK(F65),"-",(F65/$D$50*$D$47*$B$68)*($B$57/$D$64))</f>
        <v>49.920978916916276</v>
      </c>
      <c r="H65" s="136">
        <f t="shared" si="0"/>
        <v>0.99841957833832551</v>
      </c>
    </row>
    <row r="66" spans="1:8" ht="26.25" customHeight="1" x14ac:dyDescent="0.4">
      <c r="A66" s="78" t="s">
        <v>94</v>
      </c>
      <c r="B66" s="79">
        <v>1</v>
      </c>
      <c r="C66" s="324"/>
      <c r="D66" s="327"/>
      <c r="E66" s="130">
        <v>3</v>
      </c>
      <c r="F66" s="88">
        <v>29577326</v>
      </c>
      <c r="G66" s="219">
        <f>IF(ISBLANK(F66),"-",(F66/$D$50*$D$47*$B$68)*($B$57/$D$64))</f>
        <v>50.419798198594279</v>
      </c>
      <c r="H66" s="136">
        <f t="shared" si="0"/>
        <v>1.0083959639718856</v>
      </c>
    </row>
    <row r="67" spans="1:8" ht="27" customHeight="1" x14ac:dyDescent="0.4">
      <c r="A67" s="78" t="s">
        <v>95</v>
      </c>
      <c r="B67" s="79">
        <v>1</v>
      </c>
      <c r="C67" s="325"/>
      <c r="D67" s="328"/>
      <c r="E67" s="133">
        <v>4</v>
      </c>
      <c r="F67" s="134"/>
      <c r="G67" s="220" t="str">
        <f>IF(ISBLANK(F67),"-",(F67/$D$50*$D$47*$B$68)*($B$57/$D$64))</f>
        <v>-</v>
      </c>
      <c r="H67" s="137" t="str">
        <f t="shared" si="0"/>
        <v>-</v>
      </c>
    </row>
    <row r="68" spans="1:8" ht="26.25" customHeight="1" x14ac:dyDescent="0.4">
      <c r="A68" s="78" t="s">
        <v>96</v>
      </c>
      <c r="B68" s="138">
        <f>(B67/B66)*(B65/B64)*(B63/B62)*(B61/B60)*B59</f>
        <v>1000</v>
      </c>
      <c r="C68" s="323" t="s">
        <v>97</v>
      </c>
      <c r="D68" s="326">
        <v>306.32</v>
      </c>
      <c r="E68" s="127">
        <v>1</v>
      </c>
      <c r="F68" s="128">
        <v>28878897</v>
      </c>
      <c r="G68" s="218">
        <f>IF(ISBLANK(F68),"-",(F68/$D$50*$D$47*$B$68)*($B$57/$D$68))</f>
        <v>49.958833121312011</v>
      </c>
      <c r="H68" s="131">
        <f t="shared" si="0"/>
        <v>0.99917666242624026</v>
      </c>
    </row>
    <row r="69" spans="1:8" ht="27" customHeight="1" x14ac:dyDescent="0.4">
      <c r="A69" s="117" t="s">
        <v>98</v>
      </c>
      <c r="B69" s="139">
        <f>(D47*B68)/B56*B57</f>
        <v>308.31799999999993</v>
      </c>
      <c r="C69" s="324"/>
      <c r="D69" s="327"/>
      <c r="E69" s="130">
        <v>2</v>
      </c>
      <c r="F69" s="88">
        <v>28935039</v>
      </c>
      <c r="G69" s="219">
        <f>IF(ISBLANK(F69),"-",(F69/$D$50*$D$47*$B$68)*($B$57/$D$68))</f>
        <v>50.055955556739406</v>
      </c>
      <c r="H69" s="131">
        <f t="shared" si="0"/>
        <v>1.0011191111347881</v>
      </c>
    </row>
    <row r="70" spans="1:8" ht="26.25" customHeight="1" x14ac:dyDescent="0.4">
      <c r="A70" s="344" t="s">
        <v>71</v>
      </c>
      <c r="B70" s="345"/>
      <c r="C70" s="324"/>
      <c r="D70" s="327"/>
      <c r="E70" s="130">
        <v>3</v>
      </c>
      <c r="F70" s="88">
        <v>28994270</v>
      </c>
      <c r="G70" s="219">
        <f>IF(ISBLANK(F70),"-",(F70/$D$50*$D$47*$B$68)*($B$57/$D$68))</f>
        <v>50.158421784746956</v>
      </c>
      <c r="H70" s="131">
        <f t="shared" si="0"/>
        <v>1.0031684356949391</v>
      </c>
    </row>
    <row r="71" spans="1:8" ht="27" customHeight="1" x14ac:dyDescent="0.4">
      <c r="A71" s="346"/>
      <c r="B71" s="347"/>
      <c r="C71" s="343"/>
      <c r="D71" s="328"/>
      <c r="E71" s="133">
        <v>4</v>
      </c>
      <c r="F71" s="134"/>
      <c r="G71" s="220" t="str">
        <f>IF(ISBLANK(F71),"-",(F71/$D$50*$D$47*$B$68)*($B$57/$D$68))</f>
        <v>-</v>
      </c>
      <c r="H71" s="140" t="str">
        <f t="shared" si="0"/>
        <v>-</v>
      </c>
    </row>
    <row r="72" spans="1:8" ht="26.25" customHeight="1" x14ac:dyDescent="0.4">
      <c r="A72" s="141"/>
      <c r="B72" s="141"/>
      <c r="C72" s="141"/>
      <c r="D72" s="141"/>
      <c r="E72" s="141"/>
      <c r="F72" s="142"/>
      <c r="G72" s="143" t="s">
        <v>64</v>
      </c>
      <c r="H72" s="144">
        <f>AVERAGE(H60:H71)</f>
        <v>0.99704002607494935</v>
      </c>
    </row>
    <row r="73" spans="1:8" ht="26.25" customHeight="1" x14ac:dyDescent="0.4">
      <c r="C73" s="141"/>
      <c r="D73" s="141"/>
      <c r="E73" s="141"/>
      <c r="F73" s="142"/>
      <c r="G73" s="145" t="s">
        <v>77</v>
      </c>
      <c r="H73" s="221">
        <f>STDEV(H60:H71)/H72</f>
        <v>7.2328096684773991E-3</v>
      </c>
    </row>
    <row r="74" spans="1:8" ht="27" customHeight="1" x14ac:dyDescent="0.4">
      <c r="A74" s="141"/>
      <c r="B74" s="141"/>
      <c r="C74" s="142"/>
      <c r="D74" s="142"/>
      <c r="E74" s="146"/>
      <c r="F74" s="142"/>
      <c r="G74" s="147" t="s">
        <v>20</v>
      </c>
      <c r="H74" s="148">
        <f>COUNT(H60:H71)</f>
        <v>9</v>
      </c>
    </row>
    <row r="76" spans="1:8" ht="26.25" customHeight="1" x14ac:dyDescent="0.4">
      <c r="A76" s="62" t="s">
        <v>99</v>
      </c>
      <c r="B76" s="149" t="s">
        <v>100</v>
      </c>
      <c r="C76" s="331" t="str">
        <f>B20</f>
        <v>Dolutegravir sodium equivalent to Dolutegravir 50mg.</v>
      </c>
      <c r="D76" s="331"/>
      <c r="E76" s="150" t="s">
        <v>101</v>
      </c>
      <c r="F76" s="150"/>
      <c r="G76" s="151">
        <f>H72</f>
        <v>0.99704002607494935</v>
      </c>
      <c r="H76" s="152"/>
    </row>
    <row r="77" spans="1:8" ht="18.75" x14ac:dyDescent="0.3">
      <c r="A77" s="61" t="s">
        <v>102</v>
      </c>
      <c r="B77" s="61" t="s">
        <v>103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316" t="str">
        <f>B26</f>
        <v>Dolutegravir Sodium</v>
      </c>
      <c r="C79" s="316"/>
    </row>
    <row r="80" spans="1:8" ht="26.25" customHeight="1" x14ac:dyDescent="0.4">
      <c r="A80" s="63" t="s">
        <v>41</v>
      </c>
      <c r="B80" s="316"/>
      <c r="C80" s="316"/>
    </row>
    <row r="81" spans="1:12" ht="27" customHeight="1" x14ac:dyDescent="0.4">
      <c r="A81" s="63" t="s">
        <v>6</v>
      </c>
      <c r="B81" s="153">
        <f>B28</f>
        <v>99.8</v>
      </c>
    </row>
    <row r="82" spans="1:12" s="15" customFormat="1" ht="27" customHeight="1" x14ac:dyDescent="0.4">
      <c r="A82" s="63" t="s">
        <v>42</v>
      </c>
      <c r="B82" s="65">
        <v>0</v>
      </c>
      <c r="C82" s="333" t="s">
        <v>43</v>
      </c>
      <c r="D82" s="334"/>
      <c r="E82" s="334"/>
      <c r="F82" s="334"/>
      <c r="G82" s="335"/>
      <c r="I82" s="66"/>
      <c r="J82" s="66"/>
      <c r="K82" s="66"/>
      <c r="L82" s="66"/>
    </row>
    <row r="83" spans="1:12" s="15" customFormat="1" ht="19.5" customHeight="1" x14ac:dyDescent="0.3">
      <c r="A83" s="63" t="s">
        <v>44</v>
      </c>
      <c r="B83" s="67">
        <f>B81-B82</f>
        <v>99.8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5" customFormat="1" ht="27" customHeight="1" x14ac:dyDescent="0.4">
      <c r="A84" s="63" t="s">
        <v>45</v>
      </c>
      <c r="B84" s="70">
        <f>B31</f>
        <v>419.38</v>
      </c>
      <c r="C84" s="336" t="s">
        <v>104</v>
      </c>
      <c r="D84" s="337"/>
      <c r="E84" s="337"/>
      <c r="F84" s="337"/>
      <c r="G84" s="337"/>
      <c r="H84" s="338"/>
      <c r="I84" s="66"/>
      <c r="J84" s="66"/>
      <c r="K84" s="66"/>
      <c r="L84" s="66"/>
    </row>
    <row r="85" spans="1:12" s="15" customFormat="1" ht="27" customHeight="1" x14ac:dyDescent="0.4">
      <c r="A85" s="63" t="s">
        <v>47</v>
      </c>
      <c r="B85" s="70">
        <f>B32</f>
        <v>441.36</v>
      </c>
      <c r="C85" s="336" t="s">
        <v>105</v>
      </c>
      <c r="D85" s="337"/>
      <c r="E85" s="337"/>
      <c r="F85" s="337"/>
      <c r="G85" s="337"/>
      <c r="H85" s="338"/>
      <c r="I85" s="66"/>
      <c r="J85" s="66"/>
      <c r="K85" s="66"/>
      <c r="L85" s="66"/>
    </row>
    <row r="86" spans="1:12" s="15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5" customFormat="1" ht="18.75" x14ac:dyDescent="0.3">
      <c r="A87" s="63" t="s">
        <v>49</v>
      </c>
      <c r="B87" s="75">
        <f>B84/B85</f>
        <v>0.9501993837230378</v>
      </c>
      <c r="C87" s="53" t="s">
        <v>50</v>
      </c>
      <c r="D87" s="53"/>
      <c r="E87" s="53"/>
      <c r="F87" s="53"/>
      <c r="G87" s="53"/>
      <c r="H87" s="280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51</v>
      </c>
      <c r="B89" s="77">
        <v>25</v>
      </c>
      <c r="D89" s="154" t="s">
        <v>52</v>
      </c>
      <c r="E89" s="155"/>
      <c r="F89" s="339" t="s">
        <v>53</v>
      </c>
      <c r="G89" s="340"/>
    </row>
    <row r="90" spans="1:12" ht="27" customHeight="1" x14ac:dyDescent="0.4">
      <c r="A90" s="78" t="s">
        <v>54</v>
      </c>
      <c r="B90" s="79">
        <v>3</v>
      </c>
      <c r="C90" s="156" t="s">
        <v>55</v>
      </c>
      <c r="D90" s="81" t="s">
        <v>56</v>
      </c>
      <c r="E90" s="82" t="s">
        <v>57</v>
      </c>
      <c r="F90" s="81" t="s">
        <v>56</v>
      </c>
      <c r="G90" s="157" t="s">
        <v>57</v>
      </c>
      <c r="I90" s="83" t="s">
        <v>58</v>
      </c>
    </row>
    <row r="91" spans="1:12" ht="26.25" customHeight="1" x14ac:dyDescent="0.4">
      <c r="A91" s="78" t="s">
        <v>59</v>
      </c>
      <c r="B91" s="79">
        <v>50</v>
      </c>
      <c r="C91" s="158">
        <v>1</v>
      </c>
      <c r="D91" s="85">
        <v>28262987</v>
      </c>
      <c r="E91" s="272">
        <f>IF(ISBLANK(D91),"-",$D$101/$D$98*D91)</f>
        <v>28228501.518220667</v>
      </c>
      <c r="F91" s="85">
        <v>33761820</v>
      </c>
      <c r="G91" s="275">
        <f>IF(ISBLANK(F91),"-",$D$101/$F$98*F91)</f>
        <v>28755480.668854982</v>
      </c>
      <c r="I91" s="86"/>
    </row>
    <row r="92" spans="1:12" ht="26.25" customHeight="1" x14ac:dyDescent="0.4">
      <c r="A92" s="78" t="s">
        <v>60</v>
      </c>
      <c r="B92" s="79">
        <v>1</v>
      </c>
      <c r="C92" s="142">
        <v>2</v>
      </c>
      <c r="D92" s="88">
        <v>28071409</v>
      </c>
      <c r="E92" s="273">
        <f>IF(ISBLANK(D92),"-",$D$101/$D$98*D92)</f>
        <v>28037157.274816468</v>
      </c>
      <c r="F92" s="88">
        <v>33571791</v>
      </c>
      <c r="G92" s="276">
        <f>IF(ISBLANK(F92),"-",$D$101/$F$98*F92)</f>
        <v>28593629.9381769</v>
      </c>
      <c r="I92" s="318">
        <f>ABS((F96/D96*D95)-F95)/D95</f>
        <v>2.2585142343946509E-2</v>
      </c>
    </row>
    <row r="93" spans="1:12" ht="26.25" customHeight="1" x14ac:dyDescent="0.4">
      <c r="A93" s="78" t="s">
        <v>61</v>
      </c>
      <c r="B93" s="79">
        <v>1</v>
      </c>
      <c r="C93" s="142">
        <v>3</v>
      </c>
      <c r="D93" s="88">
        <v>28220092</v>
      </c>
      <c r="E93" s="273">
        <f>IF(ISBLANK(D93),"-",$D$101/$D$98*D93)</f>
        <v>28185658.857159257</v>
      </c>
      <c r="F93" s="88">
        <v>33730386</v>
      </c>
      <c r="G93" s="276">
        <f>IF(ISBLANK(F93),"-",$D$101/$F$98*F93)</f>
        <v>28728707.829613943</v>
      </c>
      <c r="I93" s="318"/>
    </row>
    <row r="94" spans="1:12" ht="27" customHeight="1" x14ac:dyDescent="0.4">
      <c r="A94" s="78" t="s">
        <v>62</v>
      </c>
      <c r="B94" s="79">
        <v>1</v>
      </c>
      <c r="C94" s="159">
        <v>4</v>
      </c>
      <c r="D94" s="91"/>
      <c r="E94" s="274" t="str">
        <f>IF(ISBLANK(D94),"-",$D$101/$D$98*D94)</f>
        <v>-</v>
      </c>
      <c r="F94" s="160"/>
      <c r="G94" s="277" t="str">
        <f>IF(ISBLANK(F94),"-",$D$101/$F$98*F94)</f>
        <v>-</v>
      </c>
      <c r="I94" s="92"/>
    </row>
    <row r="95" spans="1:12" ht="27" customHeight="1" x14ac:dyDescent="0.4">
      <c r="A95" s="78" t="s">
        <v>63</v>
      </c>
      <c r="B95" s="79">
        <v>1</v>
      </c>
      <c r="C95" s="161" t="s">
        <v>64</v>
      </c>
      <c r="D95" s="162">
        <f>AVERAGE(D91:D94)</f>
        <v>28184829.333333332</v>
      </c>
      <c r="E95" s="278">
        <f>AVERAGE(E91:E94)</f>
        <v>28150439.216732129</v>
      </c>
      <c r="F95" s="163">
        <f>AVERAGE(F91:F94)</f>
        <v>33687999</v>
      </c>
      <c r="G95" s="279">
        <f>AVERAGE(G91:G94)</f>
        <v>28692606.145548608</v>
      </c>
    </row>
    <row r="96" spans="1:12" ht="26.25" customHeight="1" x14ac:dyDescent="0.4">
      <c r="A96" s="78" t="s">
        <v>65</v>
      </c>
      <c r="B96" s="64">
        <v>1</v>
      </c>
      <c r="C96" s="164" t="s">
        <v>106</v>
      </c>
      <c r="D96" s="165">
        <v>24.44</v>
      </c>
      <c r="E96" s="89"/>
      <c r="F96" s="97">
        <v>28.66</v>
      </c>
    </row>
    <row r="97" spans="1:10" ht="26.25" customHeight="1" x14ac:dyDescent="0.4">
      <c r="A97" s="78" t="s">
        <v>67</v>
      </c>
      <c r="B97" s="64">
        <v>1</v>
      </c>
      <c r="C97" s="166" t="s">
        <v>107</v>
      </c>
      <c r="D97" s="167">
        <f>D96*$B$87</f>
        <v>23.222872938191045</v>
      </c>
      <c r="E97" s="100"/>
      <c r="F97" s="99">
        <f>F96*$B$87</f>
        <v>27.232714337502262</v>
      </c>
    </row>
    <row r="98" spans="1:10" ht="19.5" customHeight="1" x14ac:dyDescent="0.3">
      <c r="A98" s="78" t="s">
        <v>69</v>
      </c>
      <c r="B98" s="268">
        <f>(B97/B96)*(B95/B94)*(B93/B92)*(B91/B90)*B89</f>
        <v>416.66666666666669</v>
      </c>
      <c r="C98" s="166" t="s">
        <v>108</v>
      </c>
      <c r="D98" s="168">
        <f>D97*$B$83/100</f>
        <v>23.176427192314662</v>
      </c>
      <c r="E98" s="103"/>
      <c r="F98" s="102">
        <f>F97*$B$83/100</f>
        <v>27.178248908827257</v>
      </c>
    </row>
    <row r="99" spans="1:10" ht="19.5" customHeight="1" x14ac:dyDescent="0.3">
      <c r="A99" s="319" t="s">
        <v>71</v>
      </c>
      <c r="B99" s="341"/>
      <c r="C99" s="166" t="s">
        <v>109</v>
      </c>
      <c r="D99" s="169">
        <f>D98/$B$98</f>
        <v>5.5623425261555184E-2</v>
      </c>
      <c r="E99" s="103"/>
      <c r="F99" s="106">
        <f>F98/$B$98</f>
        <v>6.5227797381185421E-2</v>
      </c>
      <c r="G99" s="170"/>
      <c r="H99" s="95"/>
    </row>
    <row r="100" spans="1:10" ht="19.5" customHeight="1" x14ac:dyDescent="0.3">
      <c r="A100" s="321"/>
      <c r="B100" s="342"/>
      <c r="C100" s="166" t="s">
        <v>73</v>
      </c>
      <c r="D100" s="171">
        <f>$B$56/$B$116</f>
        <v>5.5555555555555552E-2</v>
      </c>
      <c r="F100" s="111"/>
      <c r="G100" s="172"/>
      <c r="H100" s="95"/>
    </row>
    <row r="101" spans="1:10" ht="18.75" x14ac:dyDescent="0.3">
      <c r="C101" s="166" t="s">
        <v>74</v>
      </c>
      <c r="D101" s="167">
        <f>D100*$B$98</f>
        <v>23.148148148148149</v>
      </c>
      <c r="F101" s="111"/>
      <c r="G101" s="170"/>
      <c r="H101" s="95"/>
    </row>
    <row r="102" spans="1:10" ht="19.5" customHeight="1" x14ac:dyDescent="0.3">
      <c r="C102" s="173" t="s">
        <v>75</v>
      </c>
      <c r="D102" s="174">
        <f>D101/B34</f>
        <v>24.361358831290637</v>
      </c>
      <c r="F102" s="115"/>
      <c r="G102" s="170"/>
      <c r="H102" s="95"/>
      <c r="J102" s="175"/>
    </row>
    <row r="103" spans="1:10" ht="18.75" x14ac:dyDescent="0.3">
      <c r="C103" s="176" t="s">
        <v>110</v>
      </c>
      <c r="D103" s="177">
        <f>AVERAGE(E91:E94,G91:G94)</f>
        <v>28421522.681140367</v>
      </c>
      <c r="F103" s="115"/>
      <c r="G103" s="178"/>
      <c r="H103" s="95"/>
      <c r="J103" s="179"/>
    </row>
    <row r="104" spans="1:10" ht="18.75" x14ac:dyDescent="0.3">
      <c r="C104" s="145" t="s">
        <v>77</v>
      </c>
      <c r="D104" s="180">
        <f>STDEV(E91:E94,G91:G94)/D103</f>
        <v>1.0857597327934317E-2</v>
      </c>
      <c r="F104" s="115"/>
      <c r="G104" s="170"/>
      <c r="H104" s="95"/>
      <c r="J104" s="179"/>
    </row>
    <row r="105" spans="1:10" ht="19.5" customHeight="1" x14ac:dyDescent="0.3">
      <c r="C105" s="147" t="s">
        <v>20</v>
      </c>
      <c r="D105" s="181">
        <f>COUNT(E91:E94,G91:G94)</f>
        <v>6</v>
      </c>
      <c r="F105" s="115"/>
      <c r="G105" s="170"/>
      <c r="H105" s="95"/>
      <c r="J105" s="179"/>
    </row>
    <row r="106" spans="1:10" ht="19.5" customHeight="1" x14ac:dyDescent="0.3">
      <c r="A106" s="119"/>
      <c r="B106" s="119"/>
      <c r="C106" s="119"/>
      <c r="D106" s="119"/>
      <c r="E106" s="119"/>
    </row>
    <row r="107" spans="1:10" ht="26.25" customHeight="1" x14ac:dyDescent="0.4">
      <c r="A107" s="76" t="s">
        <v>111</v>
      </c>
      <c r="B107" s="77">
        <v>900</v>
      </c>
      <c r="C107" s="182" t="s">
        <v>112</v>
      </c>
      <c r="D107" s="183" t="s">
        <v>56</v>
      </c>
      <c r="E107" s="184" t="s">
        <v>113</v>
      </c>
      <c r="F107" s="185" t="s">
        <v>114</v>
      </c>
    </row>
    <row r="108" spans="1:10" ht="26.25" customHeight="1" x14ac:dyDescent="0.4">
      <c r="A108" s="78" t="s">
        <v>115</v>
      </c>
      <c r="B108" s="79">
        <v>1</v>
      </c>
      <c r="C108" s="186">
        <v>1</v>
      </c>
      <c r="D108" s="187">
        <v>28548145</v>
      </c>
      <c r="E108" s="269">
        <f t="shared" ref="E108:E113" si="1">IF(ISBLANK(D108),"-",D108/$D$103*$D$100*$B$116)</f>
        <v>50.222757802740198</v>
      </c>
      <c r="F108" s="188">
        <f t="shared" ref="F108:F113" si="2">IF(ISBLANK(D108), "-", E108/$B$56)</f>
        <v>1.0044551560548038</v>
      </c>
    </row>
    <row r="109" spans="1:10" ht="26.25" customHeight="1" x14ac:dyDescent="0.4">
      <c r="A109" s="78" t="s">
        <v>88</v>
      </c>
      <c r="B109" s="79">
        <v>1</v>
      </c>
      <c r="C109" s="186">
        <v>2</v>
      </c>
      <c r="D109" s="187">
        <v>27796097</v>
      </c>
      <c r="E109" s="270">
        <f t="shared" si="1"/>
        <v>48.899732276562048</v>
      </c>
      <c r="F109" s="189">
        <f t="shared" si="2"/>
        <v>0.97799464553124094</v>
      </c>
    </row>
    <row r="110" spans="1:10" ht="26.25" customHeight="1" x14ac:dyDescent="0.4">
      <c r="A110" s="78" t="s">
        <v>89</v>
      </c>
      <c r="B110" s="79">
        <v>1</v>
      </c>
      <c r="C110" s="186">
        <v>3</v>
      </c>
      <c r="D110" s="187">
        <v>28480517</v>
      </c>
      <c r="E110" s="270">
        <f t="shared" si="1"/>
        <v>50.10378458522699</v>
      </c>
      <c r="F110" s="189">
        <f t="shared" si="2"/>
        <v>1.0020756917045397</v>
      </c>
    </row>
    <row r="111" spans="1:10" ht="26.25" customHeight="1" x14ac:dyDescent="0.4">
      <c r="A111" s="78" t="s">
        <v>90</v>
      </c>
      <c r="B111" s="79">
        <v>1</v>
      </c>
      <c r="C111" s="186">
        <v>4</v>
      </c>
      <c r="D111" s="187">
        <v>27948051</v>
      </c>
      <c r="E111" s="270">
        <f t="shared" si="1"/>
        <v>49.167054336862556</v>
      </c>
      <c r="F111" s="189">
        <f t="shared" si="2"/>
        <v>0.98334108673725107</v>
      </c>
    </row>
    <row r="112" spans="1:10" ht="26.25" customHeight="1" x14ac:dyDescent="0.4">
      <c r="A112" s="78" t="s">
        <v>91</v>
      </c>
      <c r="B112" s="79">
        <v>1</v>
      </c>
      <c r="C112" s="186">
        <v>5</v>
      </c>
      <c r="D112" s="187">
        <v>27884771</v>
      </c>
      <c r="E112" s="270">
        <f t="shared" si="1"/>
        <v>49.05573025210127</v>
      </c>
      <c r="F112" s="189">
        <f t="shared" si="2"/>
        <v>0.98111460504202541</v>
      </c>
    </row>
    <row r="113" spans="1:10" ht="26.25" customHeight="1" x14ac:dyDescent="0.4">
      <c r="A113" s="78" t="s">
        <v>93</v>
      </c>
      <c r="B113" s="79">
        <v>1</v>
      </c>
      <c r="C113" s="190">
        <v>6</v>
      </c>
      <c r="D113" s="191">
        <v>28269155</v>
      </c>
      <c r="E113" s="271">
        <f t="shared" si="1"/>
        <v>49.731950179359188</v>
      </c>
      <c r="F113" s="192">
        <f t="shared" si="2"/>
        <v>0.99463900358718371</v>
      </c>
    </row>
    <row r="114" spans="1:10" ht="26.25" customHeight="1" x14ac:dyDescent="0.4">
      <c r="A114" s="78" t="s">
        <v>94</v>
      </c>
      <c r="B114" s="79">
        <v>1</v>
      </c>
      <c r="C114" s="186"/>
      <c r="D114" s="142"/>
      <c r="E114" s="52"/>
      <c r="F114" s="193"/>
    </row>
    <row r="115" spans="1:10" ht="26.25" customHeight="1" x14ac:dyDescent="0.4">
      <c r="A115" s="78" t="s">
        <v>95</v>
      </c>
      <c r="B115" s="79">
        <v>1</v>
      </c>
      <c r="C115" s="186"/>
      <c r="D115" s="194"/>
      <c r="E115" s="195" t="s">
        <v>64</v>
      </c>
      <c r="F115" s="196">
        <f>AVERAGE(F108:F113)</f>
        <v>0.99060336477617417</v>
      </c>
    </row>
    <row r="116" spans="1:10" ht="27" customHeight="1" x14ac:dyDescent="0.4">
      <c r="A116" s="78" t="s">
        <v>96</v>
      </c>
      <c r="B116" s="101">
        <f>(B115/B114)*(B113/B112)*(B111/B110)*(B109/B108)*B107</f>
        <v>900</v>
      </c>
      <c r="C116" s="197"/>
      <c r="D116" s="198"/>
      <c r="E116" s="161" t="s">
        <v>77</v>
      </c>
      <c r="F116" s="199">
        <f>STDEV(F108:F113)/F115</f>
        <v>1.1434669781112631E-2</v>
      </c>
      <c r="I116" s="52"/>
    </row>
    <row r="117" spans="1:10" ht="27" customHeight="1" x14ac:dyDescent="0.4">
      <c r="A117" s="319" t="s">
        <v>71</v>
      </c>
      <c r="B117" s="320"/>
      <c r="C117" s="200"/>
      <c r="D117" s="201"/>
      <c r="E117" s="202" t="s">
        <v>20</v>
      </c>
      <c r="F117" s="203">
        <f>COUNT(F108:F113)</f>
        <v>6</v>
      </c>
      <c r="I117" s="52"/>
      <c r="J117" s="179"/>
    </row>
    <row r="118" spans="1:10" ht="19.5" customHeight="1" x14ac:dyDescent="0.3">
      <c r="A118" s="321"/>
      <c r="B118" s="322"/>
      <c r="C118" s="52"/>
      <c r="D118" s="52"/>
      <c r="E118" s="52"/>
      <c r="F118" s="142"/>
      <c r="G118" s="52"/>
      <c r="H118" s="52"/>
      <c r="I118" s="52"/>
    </row>
    <row r="119" spans="1:10" ht="18.75" x14ac:dyDescent="0.3">
      <c r="A119" s="212"/>
      <c r="B119" s="74"/>
      <c r="C119" s="52"/>
      <c r="D119" s="52"/>
      <c r="E119" s="52"/>
      <c r="F119" s="142"/>
      <c r="G119" s="52"/>
      <c r="H119" s="52"/>
      <c r="I119" s="52"/>
    </row>
    <row r="120" spans="1:10" ht="26.25" customHeight="1" x14ac:dyDescent="0.4">
      <c r="A120" s="62" t="s">
        <v>99</v>
      </c>
      <c r="B120" s="149" t="s">
        <v>116</v>
      </c>
      <c r="C120" s="331" t="str">
        <f>B20</f>
        <v>Dolutegravir sodium equivalent to Dolutegravir 50mg.</v>
      </c>
      <c r="D120" s="331"/>
      <c r="E120" s="150" t="s">
        <v>117</v>
      </c>
      <c r="F120" s="150"/>
      <c r="G120" s="151">
        <f>F115</f>
        <v>0.99060336477617417</v>
      </c>
      <c r="H120" s="52"/>
      <c r="I120" s="52"/>
    </row>
    <row r="121" spans="1:10" ht="19.5" customHeight="1" x14ac:dyDescent="0.3">
      <c r="A121" s="204"/>
      <c r="B121" s="204"/>
      <c r="C121" s="205"/>
      <c r="D121" s="205"/>
      <c r="E121" s="205"/>
      <c r="F121" s="205"/>
      <c r="G121" s="205"/>
      <c r="H121" s="205"/>
    </row>
    <row r="122" spans="1:10" ht="18.75" x14ac:dyDescent="0.3">
      <c r="B122" s="332" t="s">
        <v>26</v>
      </c>
      <c r="C122" s="332"/>
      <c r="E122" s="156" t="s">
        <v>27</v>
      </c>
      <c r="F122" s="206"/>
      <c r="G122" s="332" t="s">
        <v>28</v>
      </c>
      <c r="H122" s="332"/>
    </row>
    <row r="123" spans="1:10" ht="69.95" customHeight="1" x14ac:dyDescent="0.3">
      <c r="A123" s="207" t="s">
        <v>29</v>
      </c>
      <c r="B123" s="208"/>
      <c r="C123" s="208"/>
      <c r="E123" s="208"/>
      <c r="F123" s="52"/>
      <c r="G123" s="209"/>
      <c r="H123" s="209"/>
    </row>
    <row r="124" spans="1:10" ht="69.95" customHeight="1" x14ac:dyDescent="0.3">
      <c r="A124" s="207" t="s">
        <v>30</v>
      </c>
      <c r="B124" s="210"/>
      <c r="C124" s="210"/>
      <c r="E124" s="210"/>
      <c r="F124" s="52"/>
      <c r="G124" s="211"/>
      <c r="H124" s="211"/>
    </row>
    <row r="125" spans="1:10" ht="18.75" x14ac:dyDescent="0.3">
      <c r="A125" s="141"/>
      <c r="B125" s="141"/>
      <c r="C125" s="142"/>
      <c r="D125" s="142"/>
      <c r="E125" s="142"/>
      <c r="F125" s="146"/>
      <c r="G125" s="142"/>
      <c r="H125" s="142"/>
      <c r="I125" s="52"/>
    </row>
    <row r="126" spans="1:10" ht="18.75" x14ac:dyDescent="0.3">
      <c r="A126" s="141"/>
      <c r="B126" s="141"/>
      <c r="C126" s="142"/>
      <c r="D126" s="142"/>
      <c r="E126" s="142"/>
      <c r="F126" s="146"/>
      <c r="G126" s="142"/>
      <c r="H126" s="142"/>
      <c r="I126" s="52"/>
    </row>
    <row r="127" spans="1:10" ht="18.75" x14ac:dyDescent="0.3">
      <c r="A127" s="141"/>
      <c r="B127" s="141"/>
      <c r="C127" s="142"/>
      <c r="D127" s="142"/>
      <c r="E127" s="142"/>
      <c r="F127" s="146"/>
      <c r="G127" s="142"/>
      <c r="H127" s="142"/>
      <c r="I127" s="52"/>
    </row>
    <row r="128" spans="1:10" ht="18.75" x14ac:dyDescent="0.3">
      <c r="A128" s="141"/>
      <c r="B128" s="141"/>
      <c r="C128" s="142"/>
      <c r="D128" s="142"/>
      <c r="E128" s="142"/>
      <c r="F128" s="146"/>
      <c r="G128" s="142"/>
      <c r="H128" s="142"/>
      <c r="I128" s="52"/>
    </row>
    <row r="129" spans="1:9" ht="18.75" x14ac:dyDescent="0.3">
      <c r="A129" s="141"/>
      <c r="B129" s="141"/>
      <c r="C129" s="142"/>
      <c r="D129" s="142"/>
      <c r="E129" s="142"/>
      <c r="F129" s="146"/>
      <c r="G129" s="142"/>
      <c r="H129" s="142"/>
      <c r="I129" s="52"/>
    </row>
    <row r="130" spans="1:9" ht="18.75" x14ac:dyDescent="0.3">
      <c r="A130" s="141"/>
      <c r="B130" s="141"/>
      <c r="C130" s="142"/>
      <c r="D130" s="142"/>
      <c r="E130" s="142"/>
      <c r="F130" s="146"/>
      <c r="G130" s="142"/>
      <c r="H130" s="142"/>
      <c r="I130" s="52"/>
    </row>
    <row r="131" spans="1:9" ht="18.75" x14ac:dyDescent="0.3">
      <c r="A131" s="141"/>
      <c r="B131" s="141"/>
      <c r="C131" s="142"/>
      <c r="D131" s="142"/>
      <c r="E131" s="142"/>
      <c r="F131" s="146"/>
      <c r="G131" s="142"/>
      <c r="H131" s="142"/>
      <c r="I131" s="52"/>
    </row>
    <row r="132" spans="1:9" ht="18.75" x14ac:dyDescent="0.3">
      <c r="A132" s="141"/>
      <c r="B132" s="141"/>
      <c r="C132" s="142"/>
      <c r="D132" s="142"/>
      <c r="E132" s="142"/>
      <c r="F132" s="146"/>
      <c r="G132" s="142"/>
      <c r="H132" s="142"/>
      <c r="I132" s="52"/>
    </row>
    <row r="133" spans="1:9" ht="18.75" x14ac:dyDescent="0.3">
      <c r="A133" s="141"/>
      <c r="B133" s="141"/>
      <c r="C133" s="142"/>
      <c r="D133" s="142"/>
      <c r="E133" s="142"/>
      <c r="F133" s="146"/>
      <c r="G133" s="142"/>
      <c r="H133" s="142"/>
      <c r="I133" s="52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paperSize="9" scale="24" orientation="portrait" r:id="rId1"/>
  <headerFooter>
    <oddHeader>&amp;LVer 2</oddHeader>
    <oddFooter>&amp;LNQCL/ADDO/014&amp;CPage &amp;P of &amp;N&amp;R&amp;D &amp;T</oddFooter>
  </headerFooter>
  <rowBreaks count="1" manualBreakCount="1">
    <brk id="131" max="16383" man="1"/>
  </rowBreaks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Dolutegravir</vt:lpstr>
      <vt:lpstr>Sheet1</vt:lpstr>
      <vt:lpstr>Dolutegravir!Print_Area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2015-09-17T08:37:58Z</cp:lastPrinted>
  <dcterms:created xsi:type="dcterms:W3CDTF">2005-07-05T10:19:27Z</dcterms:created>
  <dcterms:modified xsi:type="dcterms:W3CDTF">2015-09-17T08:53:45Z</dcterms:modified>
</cp:coreProperties>
</file>