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diclofenac sodium" sheetId="3" r:id="rId3"/>
  </sheets>
  <definedNames>
    <definedName name="_xlnm.Print_Area" localSheetId="2">'diclofenac sodium'!$A$1:$I$126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C120" i="3"/>
  <c r="B116" i="3"/>
  <c r="D100" i="3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I39" i="3"/>
  <c r="F44" i="3"/>
  <c r="F45" i="3" s="1"/>
  <c r="G41" i="3" s="1"/>
  <c r="D49" i="3"/>
  <c r="D45" i="3"/>
  <c r="E39" i="3" s="1"/>
  <c r="B69" i="3"/>
  <c r="D102" i="3"/>
  <c r="F98" i="3"/>
  <c r="F99" i="3" s="1"/>
  <c r="E38" i="3"/>
  <c r="C49" i="2"/>
  <c r="D24" i="2"/>
  <c r="D28" i="2"/>
  <c r="D32" i="2"/>
  <c r="D36" i="2"/>
  <c r="D40" i="2"/>
  <c r="D49" i="2"/>
  <c r="B57" i="3"/>
  <c r="C50" i="2"/>
  <c r="D97" i="3"/>
  <c r="D98" i="3" s="1"/>
  <c r="D99" i="3" s="1"/>
  <c r="D26" i="2"/>
  <c r="D30" i="2"/>
  <c r="D34" i="2"/>
  <c r="D38" i="2"/>
  <c r="D42" i="2"/>
  <c r="B49" i="2"/>
  <c r="G39" i="3" l="1"/>
  <c r="G40" i="3"/>
  <c r="E40" i="3"/>
  <c r="F46" i="3"/>
  <c r="G38" i="3"/>
  <c r="D46" i="3"/>
  <c r="E41" i="3"/>
  <c r="E91" i="3"/>
  <c r="E92" i="3"/>
  <c r="G94" i="3"/>
  <c r="G93" i="3"/>
  <c r="E94" i="3"/>
  <c r="E93" i="3"/>
  <c r="G92" i="3"/>
  <c r="G91" i="3"/>
  <c r="G95" i="3" l="1"/>
  <c r="D52" i="3"/>
  <c r="G42" i="3"/>
  <c r="D50" i="3"/>
  <c r="G71" i="3" s="1"/>
  <c r="H71" i="3" s="1"/>
  <c r="E42" i="3"/>
  <c r="E95" i="3"/>
  <c r="D105" i="3"/>
  <c r="D103" i="3"/>
  <c r="D51" i="3" l="1"/>
  <c r="G61" i="3"/>
  <c r="H61" i="3" s="1"/>
  <c r="G64" i="3"/>
  <c r="H64" i="3" s="1"/>
  <c r="G63" i="3"/>
  <c r="H63" i="3" s="1"/>
  <c r="G66" i="3"/>
  <c r="H66" i="3" s="1"/>
  <c r="G70" i="3"/>
  <c r="H70" i="3" s="1"/>
  <c r="G68" i="3"/>
  <c r="H68" i="3" s="1"/>
  <c r="G65" i="3"/>
  <c r="H65" i="3" s="1"/>
  <c r="G60" i="3"/>
  <c r="G69" i="3"/>
  <c r="H69" i="3" s="1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H60" i="3"/>
  <c r="H72" i="3" s="1"/>
  <c r="E115" i="3"/>
  <c r="E116" i="3" s="1"/>
  <c r="E117" i="3"/>
  <c r="F108" i="3"/>
  <c r="H74" i="3" l="1"/>
  <c r="G76" i="3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<sst xmlns="http://schemas.openxmlformats.org/spreadsheetml/2006/main" count="234" uniqueCount="128">
  <si>
    <t>HPLC System Suitability Report</t>
  </si>
  <si>
    <t>Analysis Data</t>
  </si>
  <si>
    <t>Assay</t>
  </si>
  <si>
    <t>Sample(s)</t>
  </si>
  <si>
    <t>Reference Substance:</t>
  </si>
  <si>
    <t>Almiral 100 mg</t>
  </si>
  <si>
    <t>% age Purity:</t>
  </si>
  <si>
    <t>NDQD201507031</t>
  </si>
  <si>
    <t>Weight (mg):</t>
  </si>
  <si>
    <t>Diclofenac Sodium 100 mg</t>
  </si>
  <si>
    <t>Standard Conc (mg/mL):</t>
  </si>
  <si>
    <t>Each suppository contains 100 mg Diclofenac Sodium</t>
  </si>
  <si>
    <t>2015-07-29 10:01:41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</si>
  <si>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</si>
  <si>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</si>
  <si>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</si>
  <si>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</si>
  <si>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</si>
  <si>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</si>
  <si>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</si>
  <si>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</si>
  <si>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</si>
  <si>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</si>
  <si>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</si>
  <si>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</si>
  <si>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</si>
  <si>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</si>
  <si>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</si>
  <si>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</si>
  <si>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</si>
  <si>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</si>
  <si>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</si>
  <si>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</si>
  <si>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</si>
  <si>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</si>
  <si>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</si>
  <si>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</si>
  <si>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</si>
  <si>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</si>
  <si>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</si>
  <si>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</si>
  <si>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</si>
  <si>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</si>
  <si>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</si>
  <si>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</si>
  <si>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</si>
  <si>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</si>
  <si>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</si>
  <si>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</si>
  <si>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</si>
  <si>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</si>
  <si>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</si>
  <si>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</si>
  <si>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</si>
  <si>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</si>
  <si>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</si>
  <si>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</si>
  <si>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</si>
  <si>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</si>
  <si>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</si>
  <si>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</si>
  <si>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</si>
  <si>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</si>
  <si>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</si>
  <si>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</si>
  <si>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</si>
  <si>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</si>
  <si>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</si>
  <si>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</si>
  <si>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</si>
  <si>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</si>
  <si>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</si>
  <si>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</si>
  <si>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</si>
  <si>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</si>
  <si>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</si>
  <si>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</si>
  <si>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</si>
  <si>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</si>
  <si>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</si>
  <si>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</si>
  <si>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</si>
  <si>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</si>
  <si>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</si>
  <si>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</si>
  <si>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</si>
  <si>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</si>
  <si>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</si>
  <si>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</si>
  <si>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</si>
  <si>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</si>
  <si>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</si>
  <si>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</si>
  <si>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</si>
  <si>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</si>
  <si>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</si>
  <si>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</si>
  <si>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</si>
  <si>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</si>
  <si>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</si>
  <si>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</si>
  <si>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</si>
  <si>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</si>
  <si>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</si>
  <si>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</si>
  <si>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</si>
  <si>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</si>
  <si>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</si>
  <si>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</si>
  <si>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</si>
  <si>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</si>
  <si>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</si>
  <si>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</si>
  <si>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</si>
  <si>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</si>
  <si>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</si>
  <si>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</si>
  <si>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</si>
  <si>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</si>
  <si>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</si>
  <si>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</si>
  <si>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</si>
  <si>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</si>
  <si>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</si>
  <si>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</si>
  <si>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Diclofenac sodium</t>
  </si>
  <si>
    <t>D6 6</t>
  </si>
  <si>
    <t>MUTERU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</si>
</sst>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1" fillId="2" borderId="11" xfId="0" applyNumberFormat="1" applyFont="1" applyFill="1" applyBorder="1"/>
    <xf numFmtId="15" fontId="5" fillId="2" borderId="11" xfId="0" applyNumberFormat="1" applyFont="1" applyFill="1" applyBorder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5" workbookViewId="0">
      <selection activeCell="E77" sqref="E7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81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99.85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25.61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0.25609999999999999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77030285</v>
      </c>
      <c r="C24" s="18">
        <v>7527.6</v>
      </c>
      <c r="D24" s="19">
        <v>1</v>
      </c>
      <c r="E24" s="20">
        <v>8.6999999999999993</v>
      </c>
    </row>
    <row r="25" spans="1:6" ht="16.5" customHeight="1" x14ac:dyDescent="0.3">
      <c r="A25" s="17">
        <v>2</v>
      </c>
      <c r="B25" s="18">
        <v>77133322</v>
      </c>
      <c r="C25" s="18">
        <v>7606.4</v>
      </c>
      <c r="D25" s="19">
        <v>1</v>
      </c>
      <c r="E25" s="19">
        <v>8.6999999999999993</v>
      </c>
    </row>
    <row r="26" spans="1:6" ht="16.5" customHeight="1" x14ac:dyDescent="0.3">
      <c r="A26" s="17">
        <v>3</v>
      </c>
      <c r="B26" s="18">
        <v>77354899</v>
      </c>
      <c r="C26" s="18">
        <v>7614.5</v>
      </c>
      <c r="D26" s="19">
        <v>1</v>
      </c>
      <c r="E26" s="19">
        <v>8.6999999999999993</v>
      </c>
    </row>
    <row r="27" spans="1:6" ht="16.5" customHeight="1" x14ac:dyDescent="0.3">
      <c r="A27" s="17">
        <v>4</v>
      </c>
      <c r="B27" s="18">
        <v>77257859</v>
      </c>
      <c r="C27" s="18">
        <v>7586.9</v>
      </c>
      <c r="D27" s="19">
        <v>1.1000000000000001</v>
      </c>
      <c r="E27" s="19">
        <v>8.6999999999999993</v>
      </c>
    </row>
    <row r="28" spans="1:6" ht="16.5" customHeight="1" x14ac:dyDescent="0.3">
      <c r="A28" s="17">
        <v>5</v>
      </c>
      <c r="B28" s="18">
        <v>77351183</v>
      </c>
      <c r="C28" s="18">
        <v>7624.9</v>
      </c>
      <c r="D28" s="19">
        <v>1</v>
      </c>
      <c r="E28" s="19">
        <v>8.6999999999999993</v>
      </c>
    </row>
    <row r="29" spans="1:6" ht="16.5" customHeight="1" x14ac:dyDescent="0.3">
      <c r="A29" s="17">
        <v>6</v>
      </c>
      <c r="B29" s="21">
        <v>77339439</v>
      </c>
      <c r="C29" s="21">
        <v>7583.7</v>
      </c>
      <c r="D29" s="22">
        <v>1.1000000000000001</v>
      </c>
      <c r="E29" s="22">
        <v>8.6999999999999993</v>
      </c>
    </row>
    <row r="30" spans="1:6" ht="16.5" customHeight="1" x14ac:dyDescent="0.3">
      <c r="A30" s="23" t="s">
        <v>18</v>
      </c>
      <c r="B30" s="24">
        <f>AVERAGE(B24:B29)</f>
        <v>77244497.833333328</v>
      </c>
      <c r="C30" s="25">
        <f>AVERAGE(C24:C29)</f>
        <v>7590.666666666667</v>
      </c>
      <c r="D30" s="26">
        <f>AVERAGE(D24:D29)</f>
        <v>1.0333333333333332</v>
      </c>
      <c r="E30" s="26">
        <f>AVERAGE(E24:E29)</f>
        <v>8.7000000000000011</v>
      </c>
    </row>
    <row r="31" spans="1:6" ht="16.5" customHeight="1" x14ac:dyDescent="0.3">
      <c r="A31" s="27" t="s">
        <v>19</v>
      </c>
      <c r="B31" s="28">
        <f>(STDEV(B24:B29)/B30)</f>
        <v>1.7465911947362662E-3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 t="s">
        <v>127</v>
      </c>
      <c r="C61" s="50"/>
      <c r="E61" s="331">
        <v>42355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D55" sqref="D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1801.9</v>
      </c>
      <c r="D24" s="87">
        <f t="shared" ref="D24:D43" si="0">(C24-$C$46)/$C$46</f>
        <v>-5.5182450893360609E-3</v>
      </c>
      <c r="E24" s="53"/>
    </row>
    <row r="25" spans="1:5" ht="15.75" customHeight="1" x14ac:dyDescent="0.3">
      <c r="C25" s="95">
        <v>1813.26</v>
      </c>
      <c r="D25" s="88">
        <f t="shared" si="0"/>
        <v>7.5142178218014037E-4</v>
      </c>
      <c r="E25" s="53"/>
    </row>
    <row r="26" spans="1:5" ht="15.75" customHeight="1" x14ac:dyDescent="0.3">
      <c r="C26" s="95">
        <v>1817.15</v>
      </c>
      <c r="D26" s="88">
        <f t="shared" si="0"/>
        <v>2.898341159838491E-3</v>
      </c>
      <c r="E26" s="53"/>
    </row>
    <row r="27" spans="1:5" ht="15.75" customHeight="1" x14ac:dyDescent="0.3">
      <c r="C27" s="95">
        <v>1810.26</v>
      </c>
      <c r="D27" s="88">
        <f t="shared" si="0"/>
        <v>-9.043001029033779E-4</v>
      </c>
      <c r="E27" s="53"/>
    </row>
    <row r="28" spans="1:5" ht="15.75" customHeight="1" x14ac:dyDescent="0.3">
      <c r="C28" s="95">
        <v>1814.06</v>
      </c>
      <c r="D28" s="88">
        <f t="shared" si="0"/>
        <v>1.1929476182023868E-3</v>
      </c>
      <c r="E28" s="53"/>
    </row>
    <row r="29" spans="1:5" ht="15.75" customHeight="1" x14ac:dyDescent="0.3">
      <c r="C29" s="95">
        <v>1805.81</v>
      </c>
      <c r="D29" s="88">
        <f t="shared" si="0"/>
        <v>-3.3602875657772887E-3</v>
      </c>
      <c r="E29" s="53"/>
    </row>
    <row r="30" spans="1:5" ht="15.75" customHeight="1" x14ac:dyDescent="0.3">
      <c r="C30" s="95">
        <v>1805.83</v>
      </c>
      <c r="D30" s="88">
        <f t="shared" si="0"/>
        <v>-3.3492494198767418E-3</v>
      </c>
      <c r="E30" s="53"/>
    </row>
    <row r="31" spans="1:5" ht="15.75" customHeight="1" x14ac:dyDescent="0.3">
      <c r="C31" s="95">
        <v>1809.12</v>
      </c>
      <c r="D31" s="88">
        <f t="shared" si="0"/>
        <v>-1.5334744192351702E-3</v>
      </c>
      <c r="E31" s="53"/>
    </row>
    <row r="32" spans="1:5" ht="15.75" customHeight="1" x14ac:dyDescent="0.3">
      <c r="C32" s="95">
        <v>1822.29</v>
      </c>
      <c r="D32" s="88">
        <f t="shared" si="0"/>
        <v>5.7351446562815154E-3</v>
      </c>
      <c r="E32" s="53"/>
    </row>
    <row r="33" spans="1:7" ht="15.75" customHeight="1" x14ac:dyDescent="0.3">
      <c r="C33" s="95">
        <v>1822.96</v>
      </c>
      <c r="D33" s="88">
        <f t="shared" si="0"/>
        <v>6.1049225439502083E-3</v>
      </c>
      <c r="E33" s="53"/>
    </row>
    <row r="34" spans="1:7" ht="15.75" customHeight="1" x14ac:dyDescent="0.3">
      <c r="C34" s="95">
        <v>1810.96</v>
      </c>
      <c r="D34" s="88">
        <f t="shared" si="0"/>
        <v>-5.1796499638386527E-4</v>
      </c>
      <c r="E34" s="53"/>
    </row>
    <row r="35" spans="1:7" ht="15.75" customHeight="1" x14ac:dyDescent="0.3">
      <c r="C35" s="95">
        <v>1811.43</v>
      </c>
      <c r="D35" s="88">
        <f t="shared" si="0"/>
        <v>-2.5856856772076567E-4</v>
      </c>
      <c r="E35" s="53"/>
    </row>
    <row r="36" spans="1:7" ht="15.75" customHeight="1" x14ac:dyDescent="0.3">
      <c r="C36" s="95">
        <v>1801.54</v>
      </c>
      <c r="D36" s="88">
        <f t="shared" si="0"/>
        <v>-5.7169317155461533E-3</v>
      </c>
      <c r="E36" s="53"/>
    </row>
    <row r="37" spans="1:7" ht="15.75" customHeight="1" x14ac:dyDescent="0.3">
      <c r="C37" s="95">
        <v>1806.41</v>
      </c>
      <c r="D37" s="88">
        <f t="shared" si="0"/>
        <v>-3.0291431887605096E-3</v>
      </c>
      <c r="E37" s="53"/>
    </row>
    <row r="38" spans="1:7" ht="15.75" customHeight="1" x14ac:dyDescent="0.3">
      <c r="C38" s="95">
        <v>1811.52</v>
      </c>
      <c r="D38" s="88">
        <f t="shared" si="0"/>
        <v>-2.0889691116830528E-4</v>
      </c>
      <c r="E38" s="53"/>
    </row>
    <row r="39" spans="1:7" ht="15.75" customHeight="1" x14ac:dyDescent="0.3">
      <c r="C39" s="95">
        <v>1811.31</v>
      </c>
      <c r="D39" s="88">
        <f t="shared" si="0"/>
        <v>-3.2479744312417162E-4</v>
      </c>
      <c r="E39" s="53"/>
    </row>
    <row r="40" spans="1:7" ht="15.75" customHeight="1" x14ac:dyDescent="0.3">
      <c r="C40" s="95">
        <v>1818.63</v>
      </c>
      <c r="D40" s="88">
        <f t="shared" si="0"/>
        <v>3.7151639564797032E-3</v>
      </c>
      <c r="E40" s="53"/>
    </row>
    <row r="41" spans="1:7" ht="15.75" customHeight="1" x14ac:dyDescent="0.3">
      <c r="C41" s="95">
        <v>1809.22</v>
      </c>
      <c r="D41" s="88">
        <f t="shared" si="0"/>
        <v>-1.4782836897323109E-3</v>
      </c>
      <c r="E41" s="53"/>
    </row>
    <row r="42" spans="1:7" ht="15.75" customHeight="1" x14ac:dyDescent="0.3">
      <c r="C42" s="95">
        <v>1819.4</v>
      </c>
      <c r="D42" s="88">
        <f t="shared" si="0"/>
        <v>4.1401325736511296E-3</v>
      </c>
      <c r="E42" s="53"/>
    </row>
    <row r="43" spans="1:7" ht="16.5" customHeight="1" x14ac:dyDescent="0.3">
      <c r="C43" s="96">
        <v>1814.91</v>
      </c>
      <c r="D43" s="89">
        <f t="shared" si="0"/>
        <v>1.6620688189761257E-3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36237.970000000008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1811.8985000000005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1811.8985000000005</v>
      </c>
      <c r="C49" s="93">
        <f>-IF(C46&lt;=80,10%,IF(C46&lt;250,7.5%,5%))</f>
        <v>-0.05</v>
      </c>
      <c r="D49" s="81">
        <f>IF(C46&lt;=80,C46*0.9,IF(C46&lt;250,C46*0.925,C46*0.95))</f>
        <v>1721.3035750000004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1902.4934250000006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 t="s">
        <v>127</v>
      </c>
      <c r="C54" s="75"/>
      <c r="D54" s="332">
        <v>42355</v>
      </c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4" zoomScale="55" zoomScaleNormal="40" zoomScalePageLayoutView="55" workbookViewId="0">
      <selection sqref="A1:I1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45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46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33</v>
      </c>
      <c r="B18" s="292" t="s">
        <v>5</v>
      </c>
      <c r="C18" s="292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7" t="s">
        <v>9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7" t="s">
        <v>11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2" t="s">
        <v>125</v>
      </c>
      <c r="C26" s="292"/>
    </row>
    <row r="27" spans="1:14" ht="26.25" customHeight="1" x14ac:dyDescent="0.4">
      <c r="A27" s="109" t="s">
        <v>48</v>
      </c>
      <c r="B27" s="298" t="s">
        <v>126</v>
      </c>
      <c r="C27" s="298"/>
    </row>
    <row r="28" spans="1:14" ht="27" customHeight="1" x14ac:dyDescent="0.4">
      <c r="A28" s="109" t="s">
        <v>6</v>
      </c>
      <c r="B28" s="110">
        <v>99.85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5" t="s">
        <v>59</v>
      </c>
      <c r="E36" s="306"/>
      <c r="F36" s="305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77400816</v>
      </c>
      <c r="E38" s="133">
        <f>IF(ISBLANK(D38),"-",$D$48/$D$45*D38)</f>
        <v>6053658.0739911115</v>
      </c>
      <c r="F38" s="132">
        <v>77302053</v>
      </c>
      <c r="G38" s="134">
        <f>IF(ISBLANK(F38),"-",$D$48/$F$45*F38)</f>
        <v>6024761.1105374014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77324127</v>
      </c>
      <c r="E39" s="138">
        <f>IF(ISBLANK(D39),"-",$D$48/$D$45*D39)</f>
        <v>6047660.0883363308</v>
      </c>
      <c r="F39" s="137">
        <v>77287298</v>
      </c>
      <c r="G39" s="139">
        <f>IF(ISBLANK(F39),"-",$D$48/$F$45*F39)</f>
        <v>6023611.1365491813</v>
      </c>
      <c r="I39" s="309">
        <f>ABS((F43/D43*D42)-F42)/D42</f>
        <v>4.4853311801612613E-3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77448768</v>
      </c>
      <c r="E40" s="138">
        <f>IF(ISBLANK(D40),"-",$D$48/$D$45*D40)</f>
        <v>6057408.4868028322</v>
      </c>
      <c r="F40" s="137">
        <v>77358901</v>
      </c>
      <c r="G40" s="139">
        <f>IF(ISBLANK(F40),"-",$D$48/$F$45*F40)</f>
        <v>6029191.7253311872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77391237</v>
      </c>
      <c r="E42" s="148">
        <f>AVERAGE(E38:E41)</f>
        <v>6052908.8830434242</v>
      </c>
      <c r="F42" s="147">
        <f>AVERAGE(F38:F41)</f>
        <v>77316084</v>
      </c>
      <c r="G42" s="149">
        <f>AVERAGE(G38:G41)</f>
        <v>6025854.6574725909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25.61</v>
      </c>
      <c r="E43" s="140"/>
      <c r="F43" s="152">
        <v>25.7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25.61</v>
      </c>
      <c r="E44" s="155"/>
      <c r="F44" s="154">
        <f>F43*$B$34</f>
        <v>25.7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25.571584999999999</v>
      </c>
      <c r="E45" s="158"/>
      <c r="F45" s="157">
        <f>F44*$B$30/100</f>
        <v>25.661449999999999</v>
      </c>
      <c r="H45" s="150"/>
    </row>
    <row r="46" spans="1:14" ht="19.5" customHeight="1" x14ac:dyDescent="0.3">
      <c r="A46" s="310" t="s">
        <v>78</v>
      </c>
      <c r="B46" s="311"/>
      <c r="C46" s="153" t="s">
        <v>79</v>
      </c>
      <c r="D46" s="159">
        <f>D45/$B$45</f>
        <v>0.25571584999999997</v>
      </c>
      <c r="E46" s="160"/>
      <c r="F46" s="161">
        <f>F45/$B$45</f>
        <v>0.25661449999999997</v>
      </c>
      <c r="H46" s="150"/>
    </row>
    <row r="47" spans="1:14" ht="27" customHeight="1" x14ac:dyDescent="0.4">
      <c r="A47" s="312"/>
      <c r="B47" s="313"/>
      <c r="C47" s="162" t="s">
        <v>80</v>
      </c>
      <c r="D47" s="163">
        <v>0.02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6039381.7702580066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2.5259689612455848E-3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suppository contains 100 mg Diclofenac Sodium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Diclofenac Sodium 100 mg</v>
      </c>
      <c r="H56" s="179"/>
    </row>
    <row r="57" spans="1:12" ht="18.75" x14ac:dyDescent="0.3">
      <c r="A57" s="176" t="s">
        <v>88</v>
      </c>
      <c r="B57" s="268">
        <f>Uniformity!C46</f>
        <v>1811.8985000000005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4" t="s">
        <v>94</v>
      </c>
      <c r="D60" s="317">
        <v>1811.57</v>
      </c>
      <c r="E60" s="182">
        <v>1</v>
      </c>
      <c r="F60" s="183">
        <v>74581217</v>
      </c>
      <c r="G60" s="269">
        <f>IF(ISBLANK(F60),"-",(F60/$D$50*$D$47*$B$68)*($B$57/$D$60))</f>
        <v>98.811095545280438</v>
      </c>
      <c r="H60" s="184">
        <f t="shared" ref="H60:H71" si="0">IF(ISBLANK(F60),"-",G60/$B$56)</f>
        <v>0.98811095545280436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5"/>
      <c r="D61" s="318"/>
      <c r="E61" s="185">
        <v>2</v>
      </c>
      <c r="F61" s="137">
        <v>74762139</v>
      </c>
      <c r="G61" s="270">
        <f>IF(ISBLANK(F61),"-",(F61/$D$50*$D$47*$B$68)*($B$57/$D$60))</f>
        <v>99.050795321542395</v>
      </c>
      <c r="H61" s="186">
        <f t="shared" si="0"/>
        <v>0.99050795321542395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5">
        <v>3</v>
      </c>
      <c r="F62" s="187">
        <v>74776617</v>
      </c>
      <c r="G62" s="270">
        <f>IF(ISBLANK(F62),"-",(F62/$D$50*$D$47*$B$68)*($B$57/$D$60))</f>
        <v>99.069976921130731</v>
      </c>
      <c r="H62" s="186">
        <f t="shared" si="0"/>
        <v>0.99069976921130731</v>
      </c>
      <c r="L62" s="112"/>
    </row>
    <row r="63" spans="1:12" ht="27" customHeight="1" x14ac:dyDescent="0.4">
      <c r="A63" s="124" t="s">
        <v>97</v>
      </c>
      <c r="B63" s="125">
        <v>1</v>
      </c>
      <c r="C63" s="316"/>
      <c r="D63" s="319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1815.79</v>
      </c>
      <c r="E64" s="182">
        <v>1</v>
      </c>
      <c r="F64" s="183">
        <v>74779933</v>
      </c>
      <c r="G64" s="271">
        <f>IF(ISBLANK(F64),"-",(F64/$D$50*$D$47*$B$68)*($B$57/$D$64))</f>
        <v>98.844115707128296</v>
      </c>
      <c r="H64" s="190">
        <f t="shared" si="0"/>
        <v>0.98844115707128299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5">
        <v>2</v>
      </c>
      <c r="F65" s="137">
        <v>74731492</v>
      </c>
      <c r="G65" s="272">
        <f>IF(ISBLANK(F65),"-",(F65/$D$50*$D$47*$B$68)*($B$57/$D$64))</f>
        <v>98.780086393154861</v>
      </c>
      <c r="H65" s="191">
        <f t="shared" si="0"/>
        <v>0.98780086393154864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5">
        <v>3</v>
      </c>
      <c r="F66" s="137">
        <v>74841341</v>
      </c>
      <c r="G66" s="272">
        <f>IF(ISBLANK(F66),"-",(F66/$D$50*$D$47*$B$68)*($B$57/$D$64))</f>
        <v>98.925284801748148</v>
      </c>
      <c r="H66" s="191">
        <f t="shared" si="0"/>
        <v>0.98925284801748148</v>
      </c>
    </row>
    <row r="67" spans="1:8" ht="27" customHeight="1" x14ac:dyDescent="0.4">
      <c r="A67" s="124" t="s">
        <v>102</v>
      </c>
      <c r="B67" s="125">
        <v>1</v>
      </c>
      <c r="C67" s="316"/>
      <c r="D67" s="319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400</v>
      </c>
      <c r="C68" s="314" t="s">
        <v>104</v>
      </c>
      <c r="D68" s="317">
        <v>1817.82</v>
      </c>
      <c r="E68" s="182">
        <v>1</v>
      </c>
      <c r="F68" s="183">
        <v>74979990</v>
      </c>
      <c r="G68" s="271">
        <f>IF(ISBLANK(F68),"-",(F68/$D$50*$D$47*$B$68)*($B$57/$D$68))</f>
        <v>98.997874328529036</v>
      </c>
      <c r="H68" s="186">
        <f t="shared" si="0"/>
        <v>0.98997874328529034</v>
      </c>
    </row>
    <row r="69" spans="1:8" ht="27" customHeight="1" x14ac:dyDescent="0.4">
      <c r="A69" s="172" t="s">
        <v>105</v>
      </c>
      <c r="B69" s="194">
        <f>(D47*B68)/B56*B57</f>
        <v>144.95188000000005</v>
      </c>
      <c r="C69" s="315"/>
      <c r="D69" s="318"/>
      <c r="E69" s="185">
        <v>2</v>
      </c>
      <c r="F69" s="137">
        <v>75086833</v>
      </c>
      <c r="G69" s="272">
        <f>IF(ISBLANK(F69),"-",(F69/$D$50*$D$47*$B$68)*($B$57/$D$68))</f>
        <v>99.138941697128104</v>
      </c>
      <c r="H69" s="186">
        <f t="shared" si="0"/>
        <v>0.99138941697128102</v>
      </c>
    </row>
    <row r="70" spans="1:8" ht="26.25" customHeight="1" x14ac:dyDescent="0.4">
      <c r="A70" s="327" t="s">
        <v>78</v>
      </c>
      <c r="B70" s="328"/>
      <c r="C70" s="315"/>
      <c r="D70" s="318"/>
      <c r="E70" s="185">
        <v>3</v>
      </c>
      <c r="F70" s="137">
        <v>75191602</v>
      </c>
      <c r="G70" s="272">
        <f>IF(ISBLANK(F70),"-",(F70/$D$50*$D$47*$B$68)*($B$57/$D$68))</f>
        <v>99.277270713916778</v>
      </c>
      <c r="H70" s="186">
        <f t="shared" si="0"/>
        <v>0.99277270713916776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98.988382381062081</v>
      </c>
      <c r="H72" s="199">
        <f>AVERAGE(H60:H71)</f>
        <v>0.9898838238106209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1.6614186170252603E-3</v>
      </c>
      <c r="H73" s="274">
        <f>STDEV(H60:H71)/H72</f>
        <v>1.6614186170252475E-3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322" t="str">
        <f>B20</f>
        <v>Diclofenac Sodium 100 mg</v>
      </c>
      <c r="D76" s="322"/>
      <c r="E76" s="205" t="s">
        <v>108</v>
      </c>
      <c r="F76" s="205"/>
      <c r="G76" s="206">
        <f>H72</f>
        <v>0.9898838238106209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tr">
        <f>B26</f>
        <v>Diclofenac sodium</v>
      </c>
      <c r="C79" s="308"/>
    </row>
    <row r="80" spans="1:8" ht="26.25" customHeight="1" x14ac:dyDescent="0.4">
      <c r="A80" s="109" t="s">
        <v>48</v>
      </c>
      <c r="B80" s="308" t="str">
        <f>B27</f>
        <v>D6 6</v>
      </c>
      <c r="C80" s="308"/>
    </row>
    <row r="81" spans="1:12" ht="27" customHeight="1" x14ac:dyDescent="0.4">
      <c r="A81" s="109" t="s">
        <v>6</v>
      </c>
      <c r="B81" s="208">
        <f>B28</f>
        <v>99.85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154.46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165.23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0.93481813230042976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5" t="s">
        <v>60</v>
      </c>
      <c r="G89" s="307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200</v>
      </c>
      <c r="C91" s="213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09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 t="e">
        <f>AVERAGE(D91:D94)</f>
        <v>#DIV/0!</v>
      </c>
      <c r="E95" s="148" t="e">
        <f>AVERAGE(E91:E94)</f>
        <v>#DIV/0!</v>
      </c>
      <c r="F95" s="218" t="e">
        <f>AVERAGE(F91:F94)</f>
        <v>#DIV/0!</v>
      </c>
      <c r="G95" s="219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25.12</v>
      </c>
      <c r="E96" s="140"/>
      <c r="F96" s="152">
        <v>25.78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23.482631483386797</v>
      </c>
      <c r="E97" s="155"/>
      <c r="F97" s="154">
        <f>F96*$B$87</f>
        <v>24.09961145070508</v>
      </c>
    </row>
    <row r="98" spans="1:10" ht="19.5" customHeight="1" x14ac:dyDescent="0.3">
      <c r="A98" s="124" t="s">
        <v>76</v>
      </c>
      <c r="B98" s="224">
        <f>(B97/B96)*(B95/B94)*(B93/B92)*(B91/B90)*B89</f>
        <v>1250</v>
      </c>
      <c r="C98" s="222" t="s">
        <v>115</v>
      </c>
      <c r="D98" s="225">
        <f>D97*$B$83/100</f>
        <v>23.447407536161712</v>
      </c>
      <c r="E98" s="158"/>
      <c r="F98" s="157">
        <f>F97*$B$83/100</f>
        <v>24.063462033529021</v>
      </c>
    </row>
    <row r="99" spans="1:10" ht="19.5" customHeight="1" x14ac:dyDescent="0.3">
      <c r="A99" s="310" t="s">
        <v>78</v>
      </c>
      <c r="B99" s="324"/>
      <c r="C99" s="222" t="s">
        <v>116</v>
      </c>
      <c r="D99" s="226">
        <f>D98/$B$98</f>
        <v>1.875792602892937E-2</v>
      </c>
      <c r="E99" s="158"/>
      <c r="F99" s="161">
        <f>F98/$B$98</f>
        <v>1.9250769626823216E-2</v>
      </c>
      <c r="G99" s="227"/>
      <c r="H99" s="150"/>
    </row>
    <row r="100" spans="1:10" ht="19.5" customHeight="1" x14ac:dyDescent="0.3">
      <c r="A100" s="312"/>
      <c r="B100" s="325"/>
      <c r="C100" s="222" t="s">
        <v>80</v>
      </c>
      <c r="D100" s="228">
        <f>$B$56/$B$116</f>
        <v>1.1111111111111112E-2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13.888888888888889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13.888888888888889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 t="e">
        <f>AVERAGE(E91:E94,G91:G94)</f>
        <v>#DIV/0!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 t="e">
        <f>STDEV(E91:E94,G91:G94)/D103</f>
        <v>#DIV/0!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0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/>
      <c r="E108" s="275" t="str">
        <f t="shared" ref="E108:E113" si="1">IF(ISBLANK(D108),"-",D108/$D$103*$D$100*$B$116)</f>
        <v>-</v>
      </c>
      <c r="F108" s="245" t="str">
        <f t="shared" ref="F108:F113" si="2">IF(ISBLANK(D108), "-", E108/$B$56)</f>
        <v>-</v>
      </c>
    </row>
    <row r="109" spans="1:10" ht="26.25" customHeight="1" x14ac:dyDescent="0.4">
      <c r="A109" s="124" t="s">
        <v>95</v>
      </c>
      <c r="B109" s="125">
        <v>50</v>
      </c>
      <c r="C109" s="243">
        <v>2</v>
      </c>
      <c r="D109" s="244"/>
      <c r="E109" s="276" t="str">
        <f t="shared" si="1"/>
        <v>-</v>
      </c>
      <c r="F109" s="246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/>
      <c r="E110" s="276" t="str">
        <f t="shared" si="1"/>
        <v>-</v>
      </c>
      <c r="F110" s="246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/>
      <c r="E111" s="276" t="str">
        <f t="shared" si="1"/>
        <v>-</v>
      </c>
      <c r="F111" s="246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/>
      <c r="E112" s="276" t="str">
        <f t="shared" si="1"/>
        <v>-</v>
      </c>
      <c r="F112" s="246" t="str">
        <f t="shared" si="2"/>
        <v>-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/>
      <c r="E113" s="277" t="str">
        <f t="shared" si="1"/>
        <v>-</v>
      </c>
      <c r="F113" s="249" t="str">
        <f t="shared" si="2"/>
        <v>-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 t="e">
        <f>AVERAGE(E108:E113)</f>
        <v>#DIV/0!</v>
      </c>
      <c r="F115" s="252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 t="e">
        <f>STDEV(E108:E113)/E115</f>
        <v>#DIV/0!</v>
      </c>
      <c r="F116" s="254" t="e">
        <f>STDEV(F108:F113)/F115</f>
        <v>#DIV/0!</v>
      </c>
      <c r="I116" s="98"/>
    </row>
    <row r="117" spans="1:10" ht="27" customHeight="1" x14ac:dyDescent="0.4">
      <c r="A117" s="310" t="s">
        <v>78</v>
      </c>
      <c r="B117" s="311"/>
      <c r="C117" s="255"/>
      <c r="D117" s="256" t="s">
        <v>20</v>
      </c>
      <c r="E117" s="257">
        <f>COUNT(E108:E113)</f>
        <v>0</v>
      </c>
      <c r="F117" s="257">
        <f>COUNT(F108:F113)</f>
        <v>0</v>
      </c>
      <c r="I117" s="98"/>
      <c r="J117" s="236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2" t="str">
        <f>B20</f>
        <v>Diclofenac Sodium 100 mg</v>
      </c>
      <c r="D120" s="322"/>
      <c r="E120" s="205" t="s">
        <v>124</v>
      </c>
      <c r="F120" s="205"/>
      <c r="G120" s="206" t="e">
        <f>F115</f>
        <v>#DIV/0!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23" t="s">
        <v>26</v>
      </c>
      <c r="C122" s="323"/>
      <c r="E122" s="211" t="s">
        <v>27</v>
      </c>
      <c r="F122" s="260"/>
      <c r="G122" s="323" t="s">
        <v>28</v>
      </c>
      <c r="H122" s="323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diclofenac sodium</vt:lpstr>
      <vt:lpstr>'diclofenac sodium'!Print_Area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2015-12-14T09:11:52Z</cp:lastPrinted>
  <dcterms:created xsi:type="dcterms:W3CDTF">2005-07-05T10:19:27Z</dcterms:created>
  <dcterms:modified xsi:type="dcterms:W3CDTF">2015-12-18T08:01:51Z</dcterms:modified>
</cp:coreProperties>
</file>