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6" r:id="rId1"/>
    <sheet name="Uniformity" sheetId="2" r:id="rId2"/>
    <sheet name="ARTEMETHER" sheetId="5" r:id="rId3"/>
    <sheet name="LUMEFANTRINE" sheetId="4" r:id="rId4"/>
  </sheets>
  <externalReferences>
    <externalReference r:id="rId5"/>
  </externalReferences>
  <definedNames>
    <definedName name="_xlnm.Print_Area" localSheetId="2">ARTEMETHER!$A$1:$I$142</definedName>
    <definedName name="_xlnm.Print_Area" localSheetId="3">LUMEFANTRINE!$A$1:$J$131</definedName>
    <definedName name="_xlnm.Print_Area" localSheetId="0">SST!$A$1:$E$75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D101" i="5" l="1"/>
  <c r="D102" i="5"/>
  <c r="B10" i="6"/>
  <c r="B9" i="6"/>
  <c r="B6" i="6" l="1"/>
  <c r="B64" i="6"/>
  <c r="E62" i="6"/>
  <c r="D62" i="6"/>
  <c r="C62" i="6"/>
  <c r="B62" i="6"/>
  <c r="B63" i="6" s="1"/>
  <c r="B52" i="6"/>
  <c r="B53" i="6" s="1"/>
  <c r="B51" i="6"/>
  <c r="B50" i="6"/>
  <c r="B42" i="6"/>
  <c r="B41" i="6"/>
  <c r="E40" i="6"/>
  <c r="D40" i="6"/>
  <c r="B40" i="6"/>
  <c r="B31" i="6"/>
  <c r="B30" i="6"/>
  <c r="B29" i="6"/>
  <c r="B28" i="6"/>
  <c r="B21" i="6"/>
  <c r="E19" i="6"/>
  <c r="D19" i="6"/>
  <c r="C19" i="6"/>
  <c r="B19" i="6"/>
  <c r="B20" i="6" s="1"/>
  <c r="B8" i="6"/>
  <c r="B7" i="6"/>
  <c r="F42" i="5" l="1"/>
  <c r="D42" i="5"/>
  <c r="C19" i="2"/>
  <c r="C18" i="2"/>
  <c r="B23" i="4"/>
  <c r="B22" i="4"/>
  <c r="F42" i="4"/>
  <c r="D42" i="4"/>
  <c r="G41" i="4"/>
  <c r="E41" i="4"/>
  <c r="F95" i="4" l="1"/>
  <c r="D95" i="4"/>
  <c r="G94" i="4"/>
  <c r="E94" i="4"/>
  <c r="F96" i="5"/>
  <c r="D96" i="5"/>
  <c r="G95" i="5"/>
  <c r="E95" i="5"/>
  <c r="C138" i="5"/>
  <c r="B134" i="5"/>
  <c r="C121" i="5"/>
  <c r="B117" i="5"/>
  <c r="B99" i="5"/>
  <c r="B88" i="5"/>
  <c r="D98" i="5" s="1"/>
  <c r="B83" i="5"/>
  <c r="B82" i="5"/>
  <c r="B84" i="5" s="1"/>
  <c r="B81" i="5"/>
  <c r="B80" i="5"/>
  <c r="C76" i="5"/>
  <c r="H71" i="5"/>
  <c r="G71" i="5"/>
  <c r="B68" i="5"/>
  <c r="H67" i="5"/>
  <c r="G67" i="5"/>
  <c r="H63" i="5"/>
  <c r="G63" i="5"/>
  <c r="C56" i="5"/>
  <c r="B55" i="5"/>
  <c r="B45" i="5"/>
  <c r="D48" i="5" s="1"/>
  <c r="B34" i="5"/>
  <c r="F44" i="5" s="1"/>
  <c r="F45" i="5" s="1"/>
  <c r="B30" i="5"/>
  <c r="C120" i="4"/>
  <c r="B116" i="4"/>
  <c r="D100" i="4" s="1"/>
  <c r="B98" i="4"/>
  <c r="I92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I39" i="4"/>
  <c r="B34" i="4"/>
  <c r="D44" i="4" s="1"/>
  <c r="B30" i="4"/>
  <c r="D49" i="2"/>
  <c r="C46" i="2"/>
  <c r="C50" i="2" s="1"/>
  <c r="C45" i="2"/>
  <c r="D43" i="2"/>
  <c r="D37" i="2"/>
  <c r="D32" i="2"/>
  <c r="D28" i="2"/>
  <c r="D24" i="2"/>
  <c r="G41" i="5" l="1"/>
  <c r="G39" i="5"/>
  <c r="G40" i="5"/>
  <c r="G38" i="5"/>
  <c r="G42" i="5" s="1"/>
  <c r="F46" i="5"/>
  <c r="F98" i="4"/>
  <c r="F99" i="4" s="1"/>
  <c r="D45" i="4"/>
  <c r="D101" i="4"/>
  <c r="D99" i="5"/>
  <c r="D49" i="5"/>
  <c r="D49" i="4"/>
  <c r="D26" i="2"/>
  <c r="D30" i="2"/>
  <c r="D35" i="2"/>
  <c r="D40" i="2"/>
  <c r="B57" i="5"/>
  <c r="B69" i="5" s="1"/>
  <c r="D27" i="2"/>
  <c r="D31" i="2"/>
  <c r="D36" i="2"/>
  <c r="D41" i="2"/>
  <c r="C49" i="2"/>
  <c r="B57" i="4"/>
  <c r="B69" i="4" s="1"/>
  <c r="D97" i="4"/>
  <c r="D98" i="4" s="1"/>
  <c r="D44" i="5"/>
  <c r="D45" i="5" s="1"/>
  <c r="F44" i="4"/>
  <c r="F45" i="4" s="1"/>
  <c r="D25" i="2"/>
  <c r="D29" i="2"/>
  <c r="D33" i="2"/>
  <c r="D39" i="2"/>
  <c r="D50" i="2"/>
  <c r="B49" i="2"/>
  <c r="D42" i="2"/>
  <c r="D38" i="2"/>
  <c r="D34" i="2"/>
  <c r="D103" i="5"/>
  <c r="F98" i="5"/>
  <c r="F99" i="5" s="1"/>
  <c r="E41" i="5" l="1"/>
  <c r="E40" i="5"/>
  <c r="E38" i="5"/>
  <c r="E39" i="5"/>
  <c r="D46" i="4"/>
  <c r="E40" i="4"/>
  <c r="E38" i="4"/>
  <c r="E39" i="4"/>
  <c r="F46" i="4"/>
  <c r="G39" i="4"/>
  <c r="G40" i="4"/>
  <c r="G38" i="4"/>
  <c r="G42" i="4" s="1"/>
  <c r="D46" i="5"/>
  <c r="G92" i="4"/>
  <c r="G93" i="4"/>
  <c r="G91" i="4"/>
  <c r="D102" i="4"/>
  <c r="D99" i="4"/>
  <c r="E92" i="4"/>
  <c r="E93" i="4"/>
  <c r="E91" i="4"/>
  <c r="F100" i="5"/>
  <c r="G93" i="5"/>
  <c r="G94" i="5"/>
  <c r="G92" i="5"/>
  <c r="D100" i="5"/>
  <c r="E92" i="5"/>
  <c r="E93" i="5"/>
  <c r="E94" i="5"/>
  <c r="E42" i="5" l="1"/>
  <c r="E42" i="4"/>
  <c r="G95" i="4"/>
  <c r="D52" i="4"/>
  <c r="E95" i="4"/>
  <c r="D50" i="4"/>
  <c r="G70" i="4" s="1"/>
  <c r="H70" i="4" s="1"/>
  <c r="D106" i="5"/>
  <c r="G96" i="5"/>
  <c r="E96" i="5"/>
  <c r="D104" i="5"/>
  <c r="E130" i="5" s="1"/>
  <c r="F130" i="5" s="1"/>
  <c r="D103" i="4"/>
  <c r="D105" i="4"/>
  <c r="D50" i="5"/>
  <c r="D52" i="5"/>
  <c r="G60" i="4" l="1"/>
  <c r="G66" i="4"/>
  <c r="H66" i="4" s="1"/>
  <c r="D51" i="4"/>
  <c r="G71" i="4"/>
  <c r="H71" i="4" s="1"/>
  <c r="G69" i="4"/>
  <c r="H69" i="4" s="1"/>
  <c r="G61" i="4"/>
  <c r="H61" i="4" s="1"/>
  <c r="G64" i="4"/>
  <c r="H64" i="4" s="1"/>
  <c r="G62" i="4"/>
  <c r="H62" i="4" s="1"/>
  <c r="G63" i="4"/>
  <c r="H63" i="4" s="1"/>
  <c r="G68" i="4"/>
  <c r="H68" i="4" s="1"/>
  <c r="G67" i="4"/>
  <c r="H67" i="4" s="1"/>
  <c r="G65" i="4"/>
  <c r="H65" i="4" s="1"/>
  <c r="E111" i="5"/>
  <c r="F111" i="5" s="1"/>
  <c r="E113" i="5"/>
  <c r="F113" i="5" s="1"/>
  <c r="D105" i="5"/>
  <c r="E126" i="5"/>
  <c r="F126" i="5" s="1"/>
  <c r="E110" i="5"/>
  <c r="F110" i="5" s="1"/>
  <c r="E131" i="5"/>
  <c r="F131" i="5" s="1"/>
  <c r="E114" i="5"/>
  <c r="F114" i="5" s="1"/>
  <c r="E127" i="5"/>
  <c r="F127" i="5" s="1"/>
  <c r="E128" i="5"/>
  <c r="F128" i="5" s="1"/>
  <c r="E109" i="5"/>
  <c r="F109" i="5" s="1"/>
  <c r="E129" i="5"/>
  <c r="F129" i="5" s="1"/>
  <c r="E112" i="5"/>
  <c r="F112" i="5" s="1"/>
  <c r="H60" i="4"/>
  <c r="E112" i="4"/>
  <c r="F112" i="4" s="1"/>
  <c r="E110" i="4"/>
  <c r="F110" i="4" s="1"/>
  <c r="E108" i="4"/>
  <c r="E111" i="4"/>
  <c r="F111" i="4" s="1"/>
  <c r="E113" i="4"/>
  <c r="F113" i="4" s="1"/>
  <c r="D104" i="4"/>
  <c r="E109" i="4"/>
  <c r="F109" i="4" s="1"/>
  <c r="G68" i="5"/>
  <c r="H68" i="5" s="1"/>
  <c r="G70" i="5"/>
  <c r="H70" i="5" s="1"/>
  <c r="G65" i="5"/>
  <c r="H65" i="5" s="1"/>
  <c r="G61" i="5"/>
  <c r="H61" i="5" s="1"/>
  <c r="G66" i="5"/>
  <c r="H66" i="5" s="1"/>
  <c r="G62" i="5"/>
  <c r="H62" i="5" s="1"/>
  <c r="G64" i="5"/>
  <c r="H64" i="5" s="1"/>
  <c r="G69" i="5"/>
  <c r="H69" i="5" s="1"/>
  <c r="G60" i="5"/>
  <c r="H60" i="5" s="1"/>
  <c r="D51" i="5"/>
  <c r="G72" i="4" l="1"/>
  <c r="G73" i="4" s="1"/>
  <c r="G74" i="4"/>
  <c r="F118" i="5"/>
  <c r="F133" i="5"/>
  <c r="F134" i="5" s="1"/>
  <c r="F135" i="5"/>
  <c r="F116" i="5"/>
  <c r="F117" i="5" s="1"/>
  <c r="H74" i="5"/>
  <c r="H72" i="5"/>
  <c r="E115" i="4"/>
  <c r="E116" i="4" s="1"/>
  <c r="E117" i="4"/>
  <c r="F108" i="4"/>
  <c r="H72" i="4"/>
  <c r="H74" i="4"/>
  <c r="G138" i="5" l="1"/>
  <c r="G121" i="5"/>
  <c r="F117" i="4"/>
  <c r="F115" i="4"/>
  <c r="G76" i="4"/>
  <c r="H73" i="4"/>
  <c r="H73" i="5"/>
  <c r="G76" i="5"/>
  <c r="G120" i="4" l="1"/>
  <c r="F116" i="4"/>
</calcChain>
</file>

<file path=xl/sharedStrings.xml><?xml version="1.0" encoding="utf-8"?>
<sst xmlns="http://schemas.openxmlformats.org/spreadsheetml/2006/main" count="435" uniqueCount="143">
  <si>
    <t>HPLC System Suitability Report</t>
  </si>
  <si>
    <t>Analysis Data</t>
  </si>
  <si>
    <t>Assay</t>
  </si>
  <si>
    <t>Sample(s)</t>
  </si>
  <si>
    <t>Reference Substance:</t>
  </si>
  <si>
    <t>Malither L DT</t>
  </si>
  <si>
    <t>% age Purity:</t>
  </si>
  <si>
    <t>NDQD201507036</t>
  </si>
  <si>
    <t>Weight (mg):</t>
  </si>
  <si>
    <t>Artemether 80mg, Lumefantrine 480mg</t>
  </si>
  <si>
    <t>Standard Conc (mg/mL):</t>
  </si>
  <si>
    <t>Each dispersible tablets contains Artemether 80mg,Lumefantine 480mg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</si>
  <si>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</si>
  <si>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</si>
  <si>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</si>
  <si>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</si>
  <si>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</si>
  <si>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</si>
  <si>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</si>
  <si>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</si>
  <si>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</si>
  <si>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</si>
  <si>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</si>
  <si>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</si>
  <si>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</si>
  <si>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</si>
  <si>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</si>
  <si>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</si>
  <si>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</si>
  <si>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</si>
  <si>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</si>
  <si>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</si>
  <si>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</si>
  <si>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</si>
  <si>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</si>
  <si>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</si>
  <si>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</si>
  <si>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</si>
  <si>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</si>
  <si>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</si>
  <si>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</si>
  <si>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</si>
  <si>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</si>
  <si>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</si>
  <si>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</si>
  <si>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</si>
  <si>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</si>
  <si>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</si>
  <si>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</si>
  <si>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</si>
  <si>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</si>
  <si>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</si>
  <si>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</si>
  <si>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</si>
  <si>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</si>
  <si>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</si>
  <si>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</si>
  <si>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</si>
  <si>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</si>
  <si>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</si>
  <si>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</si>
  <si>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</si>
  <si>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</si>
  <si>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</si>
  <si>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</si>
  <si>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</si>
  <si>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</si>
  <si>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</si>
  <si>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</si>
  <si>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</si>
  <si>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</si>
  <si>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</si>
  <si>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</si>
  <si>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</si>
  <si>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</si>
  <si>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</si>
  <si>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</si>
  <si>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</si>
  <si>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</si>
  <si>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</si>
  <si>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</si>
  <si>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</si>
  <si>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</si>
  <si>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</si>
  <si>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</si>
  <si>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</si>
  <si>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</si>
  <si>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</si>
  <si>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</si>
  <si>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</si>
  <si>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</si>
  <si>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</si>
  <si>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</si>
  <si>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</si>
  <si>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</si>
  <si>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</si>
  <si>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</si>
  <si>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</si>
  <si>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</si>
  <si>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</si>
  <si>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</si>
  <si>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</si>
  <si>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</si>
  <si>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</si>
  <si>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F0J018</t>
  </si>
  <si>
    <t>Initial    Standard dilution</t>
  </si>
  <si>
    <t>Inj</t>
  </si>
  <si>
    <t>Desired Concetration (mg/mL):</t>
  </si>
  <si>
    <t>Initial    Sample dilution</t>
  </si>
  <si>
    <t>Comment</t>
  </si>
  <si>
    <t>Analysis Data:</t>
  </si>
  <si>
    <t>Determination of Active Ingredient Dissolved after</t>
  </si>
  <si>
    <t>1hr</t>
  </si>
  <si>
    <t>tablet No.</t>
  </si>
  <si>
    <t>3hrs</t>
  </si>
  <si>
    <t>ARTEMETHER</t>
  </si>
  <si>
    <t xml:space="preserve">Lumefantrine </t>
  </si>
  <si>
    <t>WS/14/046</t>
  </si>
  <si>
    <t>29th Oct 2015</t>
  </si>
  <si>
    <t>4th Dec 2015</t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</si>
  <si>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</si>
  <si>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</si>
  <si>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</si>
  <si>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</si>
  <si>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</si>
  <si>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</si>
  <si>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</si>
  <si>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</si>
  <si>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Sample transfer Volume (mL: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</si>
  <si>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</si>
  <si>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</si>
  <si>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</si>
  <si>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</si>
  <si>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</si>
  <si>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</si>
  <si>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</si>
  <si>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Sample transfer Volume (mL):</t>
    </r>
  </si>
  <si>
    <t>BI-CORTEM TABLETS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</si>
  <si>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</si>
  <si>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</si>
  <si>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</si>
  <si>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Joyfrida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</si>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</sst>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0000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14"/>
      <color rgb="FF000000"/>
      <name val="Calibri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20"/>
      <color rgb="FF000000"/>
      <name val="Book Antiqua"/>
      <family val="1"/>
    </font>
    <font>
      <b/>
      <i/>
      <sz val="12"/>
      <color rgb="FF000000"/>
      <name val="Book Antiqua"/>
      <family val="1"/>
    </font>
    <font>
      <b/>
      <sz val="16"/>
      <color rgb="FF000000"/>
      <name val="Book Antiqua"/>
      <family val="1"/>
    </font>
    <font>
      <b/>
      <sz val="11"/>
      <color rgb="FF000000"/>
      <name val="Book Antiqua"/>
      <family val="1"/>
    </font>
    <font>
      <b/>
      <sz val="18"/>
      <color rgb="FF000000"/>
      <name val="Book Antiqua"/>
      <family val="1"/>
    </font>
    <font>
      <b/>
      <i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5" fillId="2" borderId="0"/>
  </cellStyleXfs>
  <cellXfs count="335">
    <xf numFmtId="0" fontId="0" fillId="2" borderId="0" xfId="0" applyFill="1"/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 applyAlignment="1" applyProtection="1">
      <alignment horizontal="left"/>
      <protection locked="0"/>
    </xf>
    <xf numFmtId="0" fontId="10" fillId="2" borderId="27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166" fontId="11" fillId="3" borderId="41" xfId="0" applyNumberFormat="1" applyFont="1" applyFill="1" applyBorder="1" applyAlignment="1" applyProtection="1">
      <alignment horizontal="center"/>
      <protection locked="0"/>
    </xf>
    <xf numFmtId="171" fontId="10" fillId="7" borderId="13" xfId="0" applyNumberFormat="1" applyFont="1" applyFill="1" applyBorder="1" applyAlignment="1">
      <alignment horizontal="center"/>
    </xf>
    <xf numFmtId="172" fontId="11" fillId="3" borderId="0" xfId="0" applyNumberFormat="1" applyFont="1" applyFill="1" applyAlignment="1" applyProtection="1">
      <alignment horizontal="center"/>
      <protection locked="0"/>
    </xf>
    <xf numFmtId="1" fontId="11" fillId="3" borderId="23" xfId="0" applyNumberFormat="1" applyFont="1" applyFill="1" applyBorder="1" applyAlignment="1" applyProtection="1">
      <alignment horizontal="center"/>
      <protection locked="0"/>
    </xf>
    <xf numFmtId="171" fontId="10" fillId="6" borderId="15" xfId="0" applyNumberFormat="1" applyFont="1" applyFill="1" applyBorder="1" applyAlignment="1">
      <alignment horizontal="center"/>
    </xf>
    <xf numFmtId="0" fontId="10" fillId="2" borderId="55" xfId="0" applyFont="1" applyFill="1" applyBorder="1" applyAlignment="1">
      <alignment horizontal="center"/>
    </xf>
    <xf numFmtId="0" fontId="13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2" fontId="11" fillId="7" borderId="33" xfId="0" applyNumberFormat="1" applyFont="1" applyFill="1" applyBorder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0" fontId="3" fillId="2" borderId="0" xfId="0" applyFont="1" applyFill="1"/>
    <xf numFmtId="0" fontId="10" fillId="2" borderId="0" xfId="0" applyFont="1" applyFill="1"/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vertical="center" wrapText="1"/>
    </xf>
    <xf numFmtId="2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 wrapText="1"/>
    </xf>
    <xf numFmtId="170" fontId="10" fillId="2" borderId="0" xfId="0" applyNumberFormat="1" applyFont="1" applyFill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1" fontId="10" fillId="6" borderId="37" xfId="0" applyNumberFormat="1" applyFont="1" applyFill="1" applyBorder="1" applyAlignment="1">
      <alignment horizontal="center"/>
    </xf>
    <xf numFmtId="171" fontId="10" fillId="6" borderId="39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13" xfId="0" applyFont="1" applyFill="1" applyBorder="1" applyAlignment="1">
      <alignment horizontal="center"/>
    </xf>
    <xf numFmtId="2" fontId="10" fillId="2" borderId="13" xfId="0" applyNumberFormat="1" applyFont="1" applyFill="1" applyBorder="1" applyAlignment="1">
      <alignment horizontal="center"/>
    </xf>
    <xf numFmtId="171" fontId="10" fillId="6" borderId="3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10" fontId="10" fillId="6" borderId="41" xfId="0" applyNumberFormat="1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10" fillId="2" borderId="54" xfId="0" applyFont="1" applyFill="1" applyBorder="1" applyAlignment="1">
      <alignment horizontal="center"/>
    </xf>
    <xf numFmtId="0" fontId="10" fillId="2" borderId="55" xfId="0" applyFont="1" applyFill="1" applyBorder="1"/>
    <xf numFmtId="0" fontId="10" fillId="2" borderId="22" xfId="0" applyFont="1" applyFill="1" applyBorder="1" applyAlignment="1">
      <alignment horizontal="center" wrapText="1"/>
    </xf>
    <xf numFmtId="171" fontId="10" fillId="2" borderId="0" xfId="0" applyNumberFormat="1" applyFont="1" applyFill="1" applyAlignment="1">
      <alignment horizontal="center"/>
    </xf>
    <xf numFmtId="1" fontId="10" fillId="6" borderId="50" xfId="0" applyNumberFormat="1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1" fontId="10" fillId="6" borderId="15" xfId="0" applyNumberFormat="1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0" xfId="0" applyFont="1" applyFill="1" applyAlignment="1">
      <alignment horizontal="right"/>
    </xf>
    <xf numFmtId="0" fontId="10" fillId="2" borderId="24" xfId="0" applyFont="1" applyFill="1" applyBorder="1" applyAlignment="1">
      <alignment horizontal="center"/>
    </xf>
    <xf numFmtId="171" fontId="10" fillId="7" borderId="16" xfId="0" applyNumberFormat="1" applyFont="1" applyFill="1" applyBorder="1" applyAlignment="1">
      <alignment horizontal="center"/>
    </xf>
    <xf numFmtId="1" fontId="10" fillId="6" borderId="49" xfId="0" applyNumberFormat="1" applyFont="1" applyFill="1" applyBorder="1" applyAlignment="1">
      <alignment horizontal="center"/>
    </xf>
    <xf numFmtId="0" fontId="10" fillId="2" borderId="11" xfId="0" applyFont="1" applyFill="1" applyBorder="1" applyProtection="1">
      <protection locked="0"/>
    </xf>
    <xf numFmtId="165" fontId="10" fillId="2" borderId="0" xfId="0" applyNumberFormat="1" applyFont="1" applyFill="1" applyAlignment="1">
      <alignment horizontal="center"/>
    </xf>
    <xf numFmtId="0" fontId="11" fillId="3" borderId="0" xfId="0" applyFont="1" applyFill="1" applyAlignment="1" applyProtection="1">
      <alignment horizontal="center"/>
      <protection locked="0"/>
    </xf>
    <xf numFmtId="2" fontId="11" fillId="3" borderId="0" xfId="0" applyNumberFormat="1" applyFont="1" applyFill="1" applyAlignment="1" applyProtection="1">
      <alignment horizontal="center"/>
      <protection locked="0"/>
    </xf>
    <xf numFmtId="0" fontId="11" fillId="3" borderId="22" xfId="0" applyFont="1" applyFill="1" applyBorder="1" applyAlignment="1" applyProtection="1">
      <alignment horizontal="center"/>
      <protection locked="0"/>
    </xf>
    <xf numFmtId="0" fontId="11" fillId="3" borderId="24" xfId="0" applyFont="1" applyFill="1" applyBorder="1" applyAlignment="1" applyProtection="1">
      <alignment horizontal="center"/>
      <protection locked="0"/>
    </xf>
    <xf numFmtId="0" fontId="11" fillId="3" borderId="29" xfId="0" applyFont="1" applyFill="1" applyBorder="1" applyAlignment="1" applyProtection="1">
      <alignment horizontal="center"/>
      <protection locked="0"/>
    </xf>
    <xf numFmtId="0" fontId="11" fillId="3" borderId="23" xfId="0" applyFont="1" applyFill="1" applyBorder="1" applyAlignment="1" applyProtection="1">
      <alignment horizontal="center"/>
      <protection locked="0"/>
    </xf>
    <xf numFmtId="0" fontId="11" fillId="3" borderId="34" xfId="0" applyFont="1" applyFill="1" applyBorder="1" applyAlignment="1" applyProtection="1">
      <alignment horizontal="center"/>
      <protection locked="0"/>
    </xf>
    <xf numFmtId="0" fontId="11" fillId="3" borderId="52" xfId="0" applyFont="1" applyFill="1" applyBorder="1" applyAlignment="1" applyProtection="1">
      <alignment horizontal="center"/>
      <protection locked="0"/>
    </xf>
    <xf numFmtId="0" fontId="11" fillId="3" borderId="16" xfId="0" applyFont="1" applyFill="1" applyBorder="1" applyAlignment="1" applyProtection="1">
      <alignment horizontal="center"/>
      <protection locked="0"/>
    </xf>
    <xf numFmtId="0" fontId="11" fillId="3" borderId="27" xfId="0" applyFont="1" applyFill="1" applyBorder="1" applyAlignment="1" applyProtection="1">
      <alignment horizontal="center"/>
      <protection locked="0"/>
    </xf>
    <xf numFmtId="0" fontId="11" fillId="3" borderId="21" xfId="0" applyFont="1" applyFill="1" applyBorder="1" applyAlignment="1" applyProtection="1">
      <alignment horizontal="center"/>
      <protection locked="0"/>
    </xf>
    <xf numFmtId="0" fontId="11" fillId="3" borderId="43" xfId="0" applyFont="1" applyFill="1" applyBorder="1" applyAlignment="1" applyProtection="1">
      <alignment horizontal="center"/>
      <protection locked="0"/>
    </xf>
    <xf numFmtId="10" fontId="11" fillId="7" borderId="33" xfId="0" applyNumberFormat="1" applyFont="1" applyFill="1" applyBorder="1" applyAlignment="1">
      <alignment horizontal="center"/>
    </xf>
    <xf numFmtId="10" fontId="11" fillId="6" borderId="57" xfId="0" applyNumberFormat="1" applyFont="1" applyFill="1" applyBorder="1" applyAlignment="1">
      <alignment horizontal="center"/>
    </xf>
    <xf numFmtId="0" fontId="11" fillId="7" borderId="46" xfId="0" applyFont="1" applyFill="1" applyBorder="1" applyAlignment="1">
      <alignment horizontal="center"/>
    </xf>
    <xf numFmtId="171" fontId="11" fillId="3" borderId="34" xfId="0" applyNumberFormat="1" applyFont="1" applyFill="1" applyBorder="1" applyAlignment="1" applyProtection="1">
      <alignment horizontal="center"/>
      <protection locked="0"/>
    </xf>
    <xf numFmtId="1" fontId="11" fillId="3" borderId="31" xfId="0" applyNumberFormat="1" applyFont="1" applyFill="1" applyBorder="1" applyAlignment="1" applyProtection="1">
      <alignment horizontal="center"/>
      <protection locked="0"/>
    </xf>
    <xf numFmtId="1" fontId="11" fillId="3" borderId="35" xfId="0" applyNumberFormat="1" applyFont="1" applyFill="1" applyBorder="1" applyAlignment="1" applyProtection="1">
      <alignment horizontal="center"/>
      <protection locked="0"/>
    </xf>
    <xf numFmtId="0" fontId="17" fillId="3" borderId="0" xfId="0" applyFont="1" applyFill="1" applyAlignment="1" applyProtection="1">
      <alignment horizontal="center"/>
      <protection locked="0"/>
    </xf>
    <xf numFmtId="10" fontId="11" fillId="7" borderId="27" xfId="0" applyNumberFormat="1" applyFont="1" applyFill="1" applyBorder="1" applyAlignment="1">
      <alignment horizontal="center"/>
    </xf>
    <xf numFmtId="10" fontId="11" fillId="6" borderId="27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165" fontId="11" fillId="2" borderId="0" xfId="0" applyNumberFormat="1" applyFont="1" applyFill="1" applyAlignment="1">
      <alignment horizontal="center"/>
    </xf>
    <xf numFmtId="166" fontId="10" fillId="2" borderId="0" xfId="0" applyNumberFormat="1" applyFont="1" applyFill="1" applyAlignment="1" applyProtection="1">
      <alignment horizontal="center"/>
      <protection locked="0"/>
    </xf>
    <xf numFmtId="166" fontId="11" fillId="3" borderId="31" xfId="0" applyNumberFormat="1" applyFont="1" applyFill="1" applyBorder="1" applyAlignment="1" applyProtection="1">
      <alignment horizontal="center"/>
      <protection locked="0"/>
    </xf>
    <xf numFmtId="166" fontId="11" fillId="3" borderId="35" xfId="0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0" fillId="2" borderId="4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19" fillId="3" borderId="3" xfId="0" applyFont="1" applyFill="1" applyBorder="1" applyAlignment="1" applyProtection="1">
      <alignment horizontal="center"/>
      <protection locked="0"/>
    </xf>
    <xf numFmtId="2" fontId="6" fillId="3" borderId="14" xfId="0" applyNumberFormat="1" applyFont="1" applyFill="1" applyBorder="1" applyAlignment="1" applyProtection="1">
      <alignment horizontal="center"/>
      <protection locked="0"/>
    </xf>
    <xf numFmtId="2" fontId="6" fillId="3" borderId="15" xfId="0" applyNumberFormat="1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20" fillId="3" borderId="3" xfId="0" applyFont="1" applyFill="1" applyBorder="1" applyAlignment="1" applyProtection="1">
      <alignment horizontal="center"/>
      <protection locked="0"/>
    </xf>
    <xf numFmtId="2" fontId="20" fillId="3" borderId="3" xfId="0" applyNumberFormat="1" applyFont="1" applyFill="1" applyBorder="1" applyAlignment="1" applyProtection="1">
      <alignment horizontal="center"/>
      <protection locked="0"/>
    </xf>
    <xf numFmtId="2" fontId="20" fillId="3" borderId="4" xfId="0" applyNumberFormat="1" applyFont="1" applyFill="1" applyBorder="1" applyAlignment="1" applyProtection="1">
      <alignment horizontal="center"/>
      <protection locked="0"/>
    </xf>
    <xf numFmtId="0" fontId="20" fillId="3" borderId="5" xfId="0" applyFont="1" applyFill="1" applyBorder="1" applyAlignment="1" applyProtection="1">
      <alignment horizontal="center"/>
      <protection locked="0"/>
    </xf>
    <xf numFmtId="2" fontId="20" fillId="3" borderId="5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0" fontId="11" fillId="2" borderId="0" xfId="0" applyFont="1" applyFill="1"/>
    <xf numFmtId="168" fontId="11" fillId="3" borderId="0" xfId="0" applyNumberFormat="1" applyFont="1" applyFill="1" applyAlignment="1" applyProtection="1">
      <alignment horizontal="center"/>
      <protection locked="0"/>
    </xf>
    <xf numFmtId="169" fontId="21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22" fillId="2" borderId="0" xfId="0" applyFont="1" applyFill="1"/>
    <xf numFmtId="0" fontId="13" fillId="2" borderId="0" xfId="0" applyFont="1" applyFill="1"/>
    <xf numFmtId="0" fontId="23" fillId="2" borderId="0" xfId="0" applyFont="1" applyFill="1"/>
    <xf numFmtId="0" fontId="10" fillId="2" borderId="21" xfId="0" applyFont="1" applyFill="1" applyBorder="1" applyAlignment="1">
      <alignment horizontal="right"/>
    </xf>
    <xf numFmtId="0" fontId="10" fillId="2" borderId="23" xfId="0" applyFont="1" applyFill="1" applyBorder="1" applyAlignment="1">
      <alignment horizontal="right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24" xfId="0" applyFont="1" applyFill="1" applyBorder="1" applyAlignment="1">
      <alignment horizontal="right"/>
    </xf>
    <xf numFmtId="0" fontId="10" fillId="2" borderId="51" xfId="0" applyFont="1" applyFill="1" applyBorder="1" applyAlignment="1">
      <alignment horizontal="right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2" fontId="10" fillId="6" borderId="41" xfId="0" applyNumberFormat="1" applyFont="1" applyFill="1" applyBorder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6" borderId="17" xfId="0" applyNumberFormat="1" applyFont="1" applyFill="1" applyBorder="1" applyAlignment="1">
      <alignment horizontal="center"/>
    </xf>
    <xf numFmtId="1" fontId="10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0" fillId="2" borderId="16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0" fontId="10" fillId="2" borderId="17" xfId="0" applyFont="1" applyFill="1" applyBorder="1" applyAlignment="1">
      <alignment horizontal="right"/>
    </xf>
    <xf numFmtId="2" fontId="10" fillId="2" borderId="21" xfId="0" applyNumberFormat="1" applyFont="1" applyFill="1" applyBorder="1" applyAlignment="1">
      <alignment horizontal="center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2" fontId="10" fillId="2" borderId="23" xfId="0" applyNumberFormat="1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/>
    </xf>
    <xf numFmtId="10" fontId="10" fillId="2" borderId="22" xfId="0" applyNumberFormat="1" applyFont="1" applyFill="1" applyBorder="1" applyAlignment="1">
      <alignment horizontal="center" vertical="center"/>
    </xf>
    <xf numFmtId="2" fontId="10" fillId="2" borderId="14" xfId="0" applyNumberFormat="1" applyFont="1" applyFill="1" applyBorder="1" applyAlignment="1">
      <alignment horizontal="center"/>
    </xf>
    <xf numFmtId="10" fontId="10" fillId="2" borderId="24" xfId="0" applyNumberFormat="1" applyFont="1" applyFill="1" applyBorder="1" applyAlignment="1">
      <alignment horizontal="center" vertical="center"/>
    </xf>
    <xf numFmtId="2" fontId="10" fillId="2" borderId="15" xfId="0" applyNumberFormat="1" applyFont="1" applyFill="1" applyBorder="1" applyAlignment="1">
      <alignment horizontal="center"/>
    </xf>
    <xf numFmtId="10" fontId="10" fillId="2" borderId="44" xfId="0" applyNumberFormat="1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right"/>
    </xf>
    <xf numFmtId="2" fontId="11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right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0" fontId="10" fillId="2" borderId="23" xfId="0" applyFont="1" applyFill="1" applyBorder="1" applyAlignment="1">
      <alignment horizontal="center"/>
    </xf>
    <xf numFmtId="2" fontId="10" fillId="2" borderId="26" xfId="0" applyNumberFormat="1" applyFont="1" applyFill="1" applyBorder="1" applyAlignment="1">
      <alignment horizontal="center"/>
    </xf>
    <xf numFmtId="10" fontId="10" fillId="2" borderId="30" xfId="0" applyNumberFormat="1" applyFont="1" applyFill="1" applyBorder="1" applyAlignment="1">
      <alignment horizontal="center"/>
    </xf>
    <xf numFmtId="2" fontId="10" fillId="2" borderId="31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2" fontId="10" fillId="2" borderId="35" xfId="0" applyNumberFormat="1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0" fontId="10" fillId="2" borderId="23" xfId="0" applyFont="1" applyFill="1" applyBorder="1"/>
    <xf numFmtId="0" fontId="10" fillId="2" borderId="6" xfId="0" applyFont="1" applyFill="1" applyBorder="1"/>
    <xf numFmtId="0" fontId="10" fillId="2" borderId="43" xfId="0" applyFont="1" applyFill="1" applyBorder="1"/>
    <xf numFmtId="0" fontId="10" fillId="2" borderId="59" xfId="0" applyFont="1" applyFill="1" applyBorder="1" applyAlignment="1">
      <alignment horizontal="center"/>
    </xf>
    <xf numFmtId="0" fontId="10" fillId="2" borderId="56" xfId="0" applyFont="1" applyFill="1" applyBorder="1" applyAlignment="1">
      <alignment horizontal="right"/>
    </xf>
    <xf numFmtId="2" fontId="10" fillId="2" borderId="4" xfId="0" applyNumberFormat="1" applyFont="1" applyFill="1" applyBorder="1" applyAlignment="1">
      <alignment horizontal="center"/>
    </xf>
    <xf numFmtId="10" fontId="10" fillId="2" borderId="28" xfId="0" applyNumberFormat="1" applyFont="1" applyFill="1" applyBorder="1" applyAlignment="1">
      <alignment horizontal="center"/>
    </xf>
    <xf numFmtId="2" fontId="10" fillId="2" borderId="3" xfId="0" applyNumberFormat="1" applyFont="1" applyFill="1" applyBorder="1" applyAlignment="1">
      <alignment horizontal="center"/>
    </xf>
    <xf numFmtId="10" fontId="10" fillId="2" borderId="24" xfId="0" applyNumberFormat="1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10" fontId="10" fillId="2" borderId="33" xfId="0" applyNumberFormat="1" applyFont="1" applyFill="1" applyBorder="1" applyAlignment="1">
      <alignment horizontal="center"/>
    </xf>
    <xf numFmtId="0" fontId="10" fillId="2" borderId="24" xfId="0" applyFont="1" applyFill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10" fillId="2" borderId="7" xfId="0" applyFont="1" applyFill="1" applyBorder="1" applyProtection="1">
      <protection locked="0"/>
    </xf>
    <xf numFmtId="0" fontId="10" fillId="2" borderId="7" xfId="0" applyFont="1" applyFill="1" applyBorder="1"/>
    <xf numFmtId="0" fontId="10" fillId="3" borderId="0" xfId="0" applyFont="1" applyFill="1" applyProtection="1">
      <protection locked="0"/>
    </xf>
    <xf numFmtId="0" fontId="23" fillId="2" borderId="13" xfId="0" applyFont="1" applyFill="1" applyBorder="1"/>
    <xf numFmtId="0" fontId="10" fillId="2" borderId="15" xfId="0" applyFont="1" applyFill="1" applyBorder="1"/>
    <xf numFmtId="0" fontId="10" fillId="2" borderId="40" xfId="0" applyFont="1" applyFill="1" applyBorder="1" applyAlignment="1">
      <alignment horizontal="right"/>
    </xf>
    <xf numFmtId="0" fontId="10" fillId="2" borderId="11" xfId="0" applyFont="1" applyFill="1" applyBorder="1" applyAlignment="1">
      <alignment horizontal="right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166" fontId="10" fillId="7" borderId="2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 vertic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0" fillId="3" borderId="3" xfId="1" applyFont="1" applyFill="1" applyBorder="1" applyAlignment="1" applyProtection="1">
      <alignment horizontal="center"/>
      <protection locked="0"/>
    </xf>
    <xf numFmtId="2" fontId="20" fillId="3" borderId="3" xfId="1" applyNumberFormat="1" applyFont="1" applyFill="1" applyBorder="1" applyAlignment="1" applyProtection="1">
      <alignment horizontal="center"/>
      <protection locked="0"/>
    </xf>
    <xf numFmtId="2" fontId="20" fillId="3" borderId="4" xfId="1" applyNumberFormat="1" applyFont="1" applyFill="1" applyBorder="1" applyAlignment="1" applyProtection="1">
      <alignment horizontal="center"/>
      <protection locked="0"/>
    </xf>
    <xf numFmtId="0" fontId="20" fillId="3" borderId="5" xfId="1" applyFont="1" applyFill="1" applyBorder="1" applyAlignment="1" applyProtection="1">
      <alignment horizontal="center"/>
      <protection locked="0"/>
    </xf>
    <xf numFmtId="2" fontId="20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166" fontId="5" fillId="2" borderId="0" xfId="1" applyNumberFormat="1" applyFont="1" applyFill="1" applyAlignment="1">
      <alignment horizontal="center"/>
    </xf>
    <xf numFmtId="0" fontId="25" fillId="2" borderId="0" xfId="1" applyFill="1"/>
    <xf numFmtId="1" fontId="5" fillId="4" borderId="1" xfId="1" applyNumberFormat="1" applyFont="1" applyFill="1" applyBorder="1" applyAlignment="1">
      <alignment horizontal="center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" fillId="2" borderId="10" xfId="1" applyFont="1" applyFill="1" applyBorder="1" applyAlignment="1"/>
    <xf numFmtId="0" fontId="1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2" fillId="2" borderId="7" xfId="1" applyFont="1" applyFill="1" applyBorder="1" applyAlignment="1">
      <alignment horizontal="center"/>
    </xf>
    <xf numFmtId="0" fontId="1" fillId="2" borderId="11" xfId="1" applyFont="1" applyFill="1" applyBorder="1"/>
    <xf numFmtId="15" fontId="1" fillId="2" borderId="11" xfId="1" applyNumberFormat="1" applyFont="1" applyFill="1" applyBorder="1" applyAlignment="1">
      <alignment horizontal="center"/>
    </xf>
    <xf numFmtId="0" fontId="2" fillId="2" borderId="11" xfId="1" applyFont="1" applyFill="1" applyBorder="1"/>
    <xf numFmtId="173" fontId="10" fillId="6" borderId="49" xfId="0" applyNumberFormat="1" applyFont="1" applyFill="1" applyBorder="1" applyAlignment="1">
      <alignment horizontal="center"/>
    </xf>
    <xf numFmtId="173" fontId="10" fillId="6" borderId="50" xfId="0" applyNumberFormat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justify" vertical="center" wrapText="1"/>
    </xf>
    <xf numFmtId="0" fontId="13" fillId="2" borderId="19" xfId="0" applyFont="1" applyFill="1" applyBorder="1" applyAlignment="1">
      <alignment horizontal="justify" vertical="center" wrapText="1"/>
    </xf>
    <xf numFmtId="0" fontId="13" fillId="2" borderId="20" xfId="0" applyFont="1" applyFill="1" applyBorder="1" applyAlignment="1">
      <alignment horizontal="justify" vertical="center" wrapText="1"/>
    </xf>
    <xf numFmtId="0" fontId="10" fillId="2" borderId="47" xfId="0" applyFont="1" applyFill="1" applyBorder="1" applyAlignment="1">
      <alignment horizontal="center"/>
    </xf>
    <xf numFmtId="0" fontId="10" fillId="2" borderId="58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left" vertical="center" wrapText="1"/>
    </xf>
    <xf numFmtId="0" fontId="13" fillId="2" borderId="19" xfId="0" applyFont="1" applyFill="1" applyBorder="1" applyAlignment="1">
      <alignment horizontal="left" vertical="center" wrapText="1"/>
    </xf>
    <xf numFmtId="0" fontId="13" fillId="2" borderId="20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2" fontId="11" fillId="3" borderId="13" xfId="0" applyNumberFormat="1" applyFont="1" applyFill="1" applyBorder="1" applyAlignment="1" applyProtection="1">
      <alignment horizontal="center" vertical="center"/>
      <protection locked="0"/>
    </xf>
    <xf numFmtId="2" fontId="11" fillId="3" borderId="14" xfId="0" applyNumberFormat="1" applyFont="1" applyFill="1" applyBorder="1" applyAlignment="1" applyProtection="1">
      <alignment horizontal="center" vertical="center"/>
      <protection locked="0"/>
    </xf>
    <xf numFmtId="2" fontId="11" fillId="3" borderId="15" xfId="0" applyNumberFormat="1" applyFont="1" applyFill="1" applyBorder="1" applyAlignment="1" applyProtection="1">
      <alignment horizontal="center" vertical="center"/>
      <protection locked="0"/>
    </xf>
    <xf numFmtId="0" fontId="10" fillId="2" borderId="40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left" vertical="center" wrapText="1"/>
    </xf>
    <xf numFmtId="0" fontId="13" fillId="2" borderId="22" xfId="0" applyFont="1" applyFill="1" applyBorder="1" applyAlignment="1">
      <alignment horizontal="left" vertical="center" wrapText="1"/>
    </xf>
    <xf numFmtId="0" fontId="13" fillId="2" borderId="43" xfId="0" applyFont="1" applyFill="1" applyBorder="1" applyAlignment="1">
      <alignment horizontal="left" vertical="center" wrapText="1"/>
    </xf>
    <xf numFmtId="0" fontId="13" fillId="2" borderId="44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left" wrapText="1"/>
      <protection locked="0"/>
    </xf>
    <xf numFmtId="10" fontId="12" fillId="2" borderId="14" xfId="0" applyNumberFormat="1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D20150818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"/>
      <sheetName val="ARTEMETHER"/>
      <sheetName val="LUMEFANTRINE"/>
    </sheetNames>
    <sheetDataSet>
      <sheetData sheetId="0"/>
      <sheetData sheetId="1"/>
      <sheetData sheetId="2">
        <row r="26">
          <cell r="B26" t="str">
            <v>ARTEMETHER</v>
          </cell>
        </row>
        <row r="28">
          <cell r="B28">
            <v>99.8</v>
          </cell>
        </row>
        <row r="97">
          <cell r="D97">
            <v>23.92</v>
          </cell>
        </row>
        <row r="100">
          <cell r="D100">
            <v>2.3872159999999996E-2</v>
          </cell>
        </row>
      </sheetData>
      <sheetData sheetId="3">
        <row r="26">
          <cell r="B26" t="str">
            <v>LUMEFANTRINE</v>
          </cell>
        </row>
        <row r="30">
          <cell r="B30">
            <v>100.2</v>
          </cell>
        </row>
        <row r="43">
          <cell r="D43">
            <v>14.52</v>
          </cell>
        </row>
        <row r="45">
          <cell r="B45">
            <v>250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5"/>
  <sheetViews>
    <sheetView view="pageBreakPreview" topLeftCell="A46" zoomScaleNormal="100" zoomScaleSheetLayoutView="100" workbookViewId="0">
      <selection activeCell="B11" sqref="B11"/>
    </sheetView>
  </sheetViews>
  <sheetFormatPr defaultRowHeight="13.5" x14ac:dyDescent="0.25"/>
  <cols>
    <col min="1" max="1" width="27.5703125" style="237" customWidth="1"/>
    <col min="2" max="2" width="28" style="237" customWidth="1"/>
    <col min="3" max="3" width="31.85546875" style="237" customWidth="1"/>
    <col min="4" max="4" width="25.85546875" style="237" customWidth="1"/>
    <col min="5" max="5" width="25.7109375" style="237" customWidth="1"/>
    <col min="6" max="6" width="21.5703125" style="237" customWidth="1"/>
    <col min="7" max="7" width="9.140625" style="237" customWidth="1"/>
    <col min="8" max="16384" width="9.140625" style="271"/>
  </cols>
  <sheetData>
    <row r="3" spans="1:5" ht="15" customHeight="1" x14ac:dyDescent="0.3">
      <c r="A3" s="236"/>
      <c r="C3" s="238"/>
    </row>
    <row r="4" spans="1:5" ht="18.75" customHeight="1" x14ac:dyDescent="0.3">
      <c r="A4" s="286" t="s">
        <v>0</v>
      </c>
      <c r="B4" s="286"/>
      <c r="C4" s="286"/>
      <c r="D4" s="286"/>
      <c r="E4" s="286"/>
    </row>
    <row r="5" spans="1:5" ht="16.5" customHeight="1" x14ac:dyDescent="0.3">
      <c r="A5" s="239" t="s">
        <v>1</v>
      </c>
      <c r="B5" s="240" t="s">
        <v>2</v>
      </c>
    </row>
    <row r="6" spans="1:5" ht="16.5" customHeight="1" x14ac:dyDescent="0.3">
      <c r="A6" s="241" t="s">
        <v>3</v>
      </c>
      <c r="B6" s="241" t="str">
        <f>ARTEMETHER!B18</f>
        <v>Malither L DT</v>
      </c>
      <c r="D6" s="242"/>
      <c r="E6" s="243"/>
    </row>
    <row r="7" spans="1:5" ht="16.5" customHeight="1" x14ac:dyDescent="0.3">
      <c r="A7" s="244" t="s">
        <v>4</v>
      </c>
      <c r="B7" s="245" t="str">
        <f>[1]ARTEMETHER!B26</f>
        <v>ARTEMETHER</v>
      </c>
      <c r="C7" s="243"/>
      <c r="D7" s="243"/>
      <c r="E7" s="243"/>
    </row>
    <row r="8" spans="1:5" ht="16.5" customHeight="1" x14ac:dyDescent="0.3">
      <c r="A8" s="244" t="s">
        <v>6</v>
      </c>
      <c r="B8" s="246">
        <f>[1]ARTEMETHER!B28</f>
        <v>99.8</v>
      </c>
      <c r="C8" s="243"/>
      <c r="D8" s="243"/>
      <c r="E8" s="243"/>
    </row>
    <row r="9" spans="1:5" ht="16.5" customHeight="1" x14ac:dyDescent="0.3">
      <c r="A9" s="241" t="s">
        <v>8</v>
      </c>
      <c r="B9" s="245">
        <f>ARTEMETHER!D43</f>
        <v>21.82</v>
      </c>
      <c r="C9" s="243"/>
      <c r="D9" s="243"/>
      <c r="E9" s="243"/>
    </row>
    <row r="10" spans="1:5" ht="16.5" customHeight="1" x14ac:dyDescent="0.3">
      <c r="A10" s="241" t="s">
        <v>10</v>
      </c>
      <c r="B10" s="247">
        <f>B9/ARTEMETHER!B45</f>
        <v>0.21820000000000001</v>
      </c>
      <c r="C10" s="243"/>
      <c r="D10" s="243"/>
      <c r="E10" s="243"/>
    </row>
    <row r="11" spans="1:5" ht="15.75" customHeight="1" x14ac:dyDescent="0.25">
      <c r="A11" s="243"/>
      <c r="B11" s="243"/>
      <c r="C11" s="243"/>
      <c r="D11" s="243"/>
      <c r="E11" s="243"/>
    </row>
    <row r="12" spans="1:5" ht="16.5" customHeight="1" x14ac:dyDescent="0.3">
      <c r="A12" s="248" t="s">
        <v>12</v>
      </c>
      <c r="B12" s="249" t="s">
        <v>13</v>
      </c>
      <c r="C12" s="248" t="s">
        <v>14</v>
      </c>
      <c r="D12" s="248" t="s">
        <v>15</v>
      </c>
      <c r="E12" s="248" t="s">
        <v>16</v>
      </c>
    </row>
    <row r="13" spans="1:5" ht="16.5" customHeight="1" x14ac:dyDescent="0.25">
      <c r="A13" s="250">
        <v>1</v>
      </c>
      <c r="B13" s="130">
        <v>2436275</v>
      </c>
      <c r="C13" s="131">
        <v>10953.9</v>
      </c>
      <c r="D13" s="131">
        <v>1.02</v>
      </c>
      <c r="E13" s="132">
        <v>5.63</v>
      </c>
    </row>
    <row r="14" spans="1:5" ht="16.5" customHeight="1" x14ac:dyDescent="0.25">
      <c r="A14" s="250">
        <v>2</v>
      </c>
      <c r="B14" s="130">
        <v>2433643</v>
      </c>
      <c r="C14" s="131">
        <v>10960.82</v>
      </c>
      <c r="D14" s="131">
        <v>1.02</v>
      </c>
      <c r="E14" s="131">
        <v>5.62</v>
      </c>
    </row>
    <row r="15" spans="1:5" ht="16.5" customHeight="1" x14ac:dyDescent="0.25">
      <c r="A15" s="250">
        <v>3</v>
      </c>
      <c r="B15" s="130">
        <v>2440825</v>
      </c>
      <c r="C15" s="131">
        <v>10882.21</v>
      </c>
      <c r="D15" s="131">
        <v>1</v>
      </c>
      <c r="E15" s="131">
        <v>5.63</v>
      </c>
    </row>
    <row r="16" spans="1:5" ht="16.5" customHeight="1" x14ac:dyDescent="0.25">
      <c r="A16" s="250">
        <v>4</v>
      </c>
      <c r="B16" s="130">
        <v>2444920</v>
      </c>
      <c r="C16" s="131">
        <v>10935.42</v>
      </c>
      <c r="D16" s="131">
        <v>1.02</v>
      </c>
      <c r="E16" s="131">
        <v>5.63</v>
      </c>
    </row>
    <row r="17" spans="1:5" ht="16.5" customHeight="1" x14ac:dyDescent="0.25">
      <c r="A17" s="250">
        <v>5</v>
      </c>
      <c r="B17" s="130">
        <v>2452603</v>
      </c>
      <c r="C17" s="131">
        <v>10967.62</v>
      </c>
      <c r="D17" s="131">
        <v>1.02</v>
      </c>
      <c r="E17" s="131">
        <v>5.63</v>
      </c>
    </row>
    <row r="18" spans="1:5" ht="16.5" customHeight="1" x14ac:dyDescent="0.25">
      <c r="A18" s="250">
        <v>6</v>
      </c>
      <c r="B18" s="133">
        <v>2440045</v>
      </c>
      <c r="C18" s="134">
        <v>10957.68</v>
      </c>
      <c r="D18" s="134">
        <v>1.03</v>
      </c>
      <c r="E18" s="134">
        <v>5.63</v>
      </c>
    </row>
    <row r="19" spans="1:5" ht="16.5" customHeight="1" x14ac:dyDescent="0.3">
      <c r="A19" s="256" t="s">
        <v>17</v>
      </c>
      <c r="B19" s="257">
        <f>AVERAGE(B13:B18)</f>
        <v>2441385.1666666665</v>
      </c>
      <c r="C19" s="258">
        <f>AVERAGE(C13:C18)</f>
        <v>10942.941666666666</v>
      </c>
      <c r="D19" s="258">
        <f>AVERAGE(D13:D18)</f>
        <v>1.0183333333333333</v>
      </c>
      <c r="E19" s="258">
        <f>AVERAGE(E13:E18)</f>
        <v>5.628333333333333</v>
      </c>
    </row>
    <row r="20" spans="1:5" ht="16.5" customHeight="1" x14ac:dyDescent="0.3">
      <c r="A20" s="259" t="s">
        <v>18</v>
      </c>
      <c r="B20" s="260">
        <f>(STDEV(B13:B18)/B19)</f>
        <v>2.7568455021685359E-3</v>
      </c>
      <c r="C20" s="261"/>
      <c r="D20" s="261"/>
      <c r="E20" s="262"/>
    </row>
    <row r="21" spans="1:5" s="237" customFormat="1" ht="16.5" customHeight="1" x14ac:dyDescent="0.3">
      <c r="A21" s="263" t="s">
        <v>19</v>
      </c>
      <c r="B21" s="264">
        <f>COUNT(B13:B18)</f>
        <v>6</v>
      </c>
      <c r="C21" s="265"/>
      <c r="D21" s="266"/>
      <c r="E21" s="267"/>
    </row>
    <row r="22" spans="1:5" s="237" customFormat="1" ht="15.75" customHeight="1" x14ac:dyDescent="0.25">
      <c r="A22" s="243"/>
      <c r="B22" s="243"/>
      <c r="C22" s="243"/>
      <c r="D22" s="243"/>
      <c r="E22" s="243"/>
    </row>
    <row r="23" spans="1:5" s="237" customFormat="1" ht="16.5" customHeight="1" x14ac:dyDescent="0.3">
      <c r="A23" s="244" t="s">
        <v>20</v>
      </c>
      <c r="B23" s="268" t="s">
        <v>138</v>
      </c>
      <c r="C23" s="269"/>
      <c r="D23" s="269"/>
      <c r="E23" s="269"/>
    </row>
    <row r="24" spans="1:5" ht="16.5" customHeight="1" x14ac:dyDescent="0.3">
      <c r="A24" s="244"/>
      <c r="B24" s="268" t="s">
        <v>139</v>
      </c>
      <c r="C24" s="269"/>
      <c r="D24" s="269"/>
      <c r="E24" s="269"/>
    </row>
    <row r="25" spans="1:5" ht="16.5" customHeight="1" x14ac:dyDescent="0.3">
      <c r="A25" s="244"/>
      <c r="B25" s="268" t="s">
        <v>140</v>
      </c>
      <c r="C25" s="269"/>
      <c r="D25" s="269"/>
      <c r="E25" s="269"/>
    </row>
    <row r="26" spans="1:5" ht="15.75" customHeight="1" x14ac:dyDescent="0.25">
      <c r="A26" s="243"/>
      <c r="B26" s="243"/>
      <c r="C26" s="243"/>
      <c r="D26" s="243"/>
      <c r="E26" s="243"/>
    </row>
    <row r="27" spans="1:5" ht="16.5" customHeight="1" x14ac:dyDescent="0.3">
      <c r="A27" s="239" t="s">
        <v>1</v>
      </c>
      <c r="B27" s="240" t="s">
        <v>21</v>
      </c>
    </row>
    <row r="28" spans="1:5" ht="16.5" customHeight="1" x14ac:dyDescent="0.3">
      <c r="A28" s="244" t="s">
        <v>4</v>
      </c>
      <c r="B28" s="241" t="str">
        <f>[1]ARTEMETHER!B26</f>
        <v>ARTEMETHER</v>
      </c>
      <c r="C28" s="243"/>
      <c r="D28" s="243"/>
      <c r="E28" s="243"/>
    </row>
    <row r="29" spans="1:5" ht="16.5" customHeight="1" x14ac:dyDescent="0.3">
      <c r="A29" s="244" t="s">
        <v>6</v>
      </c>
      <c r="B29" s="245">
        <f>[1]ARTEMETHER!B28</f>
        <v>99.8</v>
      </c>
      <c r="C29" s="243"/>
      <c r="D29" s="243"/>
      <c r="E29" s="243"/>
    </row>
    <row r="30" spans="1:5" ht="16.5" customHeight="1" x14ac:dyDescent="0.3">
      <c r="A30" s="241" t="s">
        <v>8</v>
      </c>
      <c r="B30" s="245">
        <f>[1]ARTEMETHER!D97</f>
        <v>23.92</v>
      </c>
      <c r="C30" s="243"/>
      <c r="D30" s="243"/>
      <c r="E30" s="243"/>
    </row>
    <row r="31" spans="1:5" ht="16.5" customHeight="1" x14ac:dyDescent="0.3">
      <c r="A31" s="241" t="s">
        <v>10</v>
      </c>
      <c r="B31" s="270">
        <f>[1]ARTEMETHER!D100</f>
        <v>2.3872159999999996E-2</v>
      </c>
      <c r="C31" s="243"/>
      <c r="D31" s="243"/>
      <c r="E31" s="243"/>
    </row>
    <row r="32" spans="1:5" ht="15.75" customHeight="1" x14ac:dyDescent="0.25">
      <c r="A32" s="243"/>
      <c r="B32" s="243"/>
      <c r="C32" s="243"/>
      <c r="D32" s="243"/>
      <c r="E32" s="243"/>
    </row>
    <row r="33" spans="1:5" ht="16.5" customHeight="1" x14ac:dyDescent="0.3">
      <c r="A33" s="248" t="s">
        <v>12</v>
      </c>
      <c r="B33" s="249" t="s">
        <v>13</v>
      </c>
      <c r="C33" s="248" t="s">
        <v>14</v>
      </c>
      <c r="D33" s="248" t="s">
        <v>15</v>
      </c>
      <c r="E33" s="248" t="s">
        <v>16</v>
      </c>
    </row>
    <row r="34" spans="1:5" ht="16.5" customHeight="1" x14ac:dyDescent="0.25">
      <c r="A34" s="250">
        <v>1</v>
      </c>
      <c r="B34" s="251">
        <v>1567219</v>
      </c>
      <c r="C34" s="251">
        <v>12905.23</v>
      </c>
      <c r="D34" s="252">
        <v>0.98</v>
      </c>
      <c r="E34" s="253">
        <v>9.02</v>
      </c>
    </row>
    <row r="35" spans="1:5" ht="16.5" customHeight="1" x14ac:dyDescent="0.25">
      <c r="A35" s="250">
        <v>2</v>
      </c>
      <c r="B35" s="251">
        <v>1564818</v>
      </c>
      <c r="C35" s="251">
        <v>12730.26</v>
      </c>
      <c r="D35" s="252">
        <v>0.98</v>
      </c>
      <c r="E35" s="252">
        <v>9.02</v>
      </c>
    </row>
    <row r="36" spans="1:5" ht="16.5" customHeight="1" x14ac:dyDescent="0.25">
      <c r="A36" s="250">
        <v>3</v>
      </c>
      <c r="B36" s="251">
        <v>1566946</v>
      </c>
      <c r="C36" s="251">
        <v>12589.65</v>
      </c>
      <c r="D36" s="252">
        <v>0.97</v>
      </c>
      <c r="E36" s="252">
        <v>9.02</v>
      </c>
    </row>
    <row r="37" spans="1:5" ht="16.5" customHeight="1" x14ac:dyDescent="0.25">
      <c r="A37" s="250">
        <v>4</v>
      </c>
      <c r="B37" s="251">
        <v>1566543</v>
      </c>
      <c r="C37" s="251">
        <v>12508.57</v>
      </c>
      <c r="D37" s="252">
        <v>0.97</v>
      </c>
      <c r="E37" s="252">
        <v>9.02</v>
      </c>
    </row>
    <row r="38" spans="1:5" ht="16.5" customHeight="1" x14ac:dyDescent="0.25">
      <c r="A38" s="250">
        <v>5</v>
      </c>
      <c r="B38" s="251">
        <v>1564489</v>
      </c>
      <c r="C38" s="251">
        <v>12388.38</v>
      </c>
      <c r="D38" s="252">
        <v>0.97</v>
      </c>
      <c r="E38" s="252">
        <v>9.02</v>
      </c>
    </row>
    <row r="39" spans="1:5" ht="16.5" customHeight="1" x14ac:dyDescent="0.25">
      <c r="A39" s="250">
        <v>6</v>
      </c>
      <c r="B39" s="254">
        <v>1563373</v>
      </c>
      <c r="C39" s="254">
        <v>12421.91</v>
      </c>
      <c r="D39" s="255">
        <v>0.96</v>
      </c>
      <c r="E39" s="255">
        <v>9.02</v>
      </c>
    </row>
    <row r="40" spans="1:5" ht="16.5" customHeight="1" x14ac:dyDescent="0.3">
      <c r="A40" s="256" t="s">
        <v>17</v>
      </c>
      <c r="B40" s="257">
        <f>AVERAGE(B34:B39)</f>
        <v>1565564.6666666667</v>
      </c>
      <c r="C40" s="272">
        <v>12247.41</v>
      </c>
      <c r="D40" s="258">
        <f>AVERAGE(D34:D39)</f>
        <v>0.97166666666666657</v>
      </c>
      <c r="E40" s="258">
        <f>AVERAGE(E34:E39)</f>
        <v>9.0199999999999978</v>
      </c>
    </row>
    <row r="41" spans="1:5" ht="16.5" customHeight="1" x14ac:dyDescent="0.3">
      <c r="A41" s="259" t="s">
        <v>18</v>
      </c>
      <c r="B41" s="260">
        <f>(STDEV(B34:B39)/B40)</f>
        <v>9.9447864984795542E-4</v>
      </c>
      <c r="C41" s="261"/>
      <c r="D41" s="261"/>
      <c r="E41" s="262"/>
    </row>
    <row r="42" spans="1:5" s="237" customFormat="1" ht="16.5" customHeight="1" x14ac:dyDescent="0.3">
      <c r="A42" s="263" t="s">
        <v>19</v>
      </c>
      <c r="B42" s="264">
        <f>COUNT(B34:B39)</f>
        <v>6</v>
      </c>
      <c r="C42" s="265"/>
      <c r="D42" s="266"/>
      <c r="E42" s="267"/>
    </row>
    <row r="43" spans="1:5" s="237" customFormat="1" ht="15.75" customHeight="1" x14ac:dyDescent="0.25">
      <c r="A43" s="243"/>
      <c r="B43" s="243"/>
      <c r="C43" s="243"/>
      <c r="D43" s="243"/>
      <c r="E43" s="243"/>
    </row>
    <row r="44" spans="1:5" s="237" customFormat="1" ht="16.5" customHeight="1" x14ac:dyDescent="0.3">
      <c r="A44" s="244" t="s">
        <v>20</v>
      </c>
      <c r="B44" s="268" t="s">
        <v>138</v>
      </c>
      <c r="C44" s="269"/>
      <c r="D44" s="269"/>
      <c r="E44" s="269"/>
    </row>
    <row r="45" spans="1:5" ht="16.5" customHeight="1" x14ac:dyDescent="0.3">
      <c r="A45" s="244"/>
      <c r="B45" s="268" t="s">
        <v>139</v>
      </c>
      <c r="C45" s="269"/>
      <c r="D45" s="269"/>
      <c r="E45" s="269"/>
    </row>
    <row r="46" spans="1:5" ht="16.5" customHeight="1" x14ac:dyDescent="0.3">
      <c r="A46" s="244"/>
      <c r="B46" s="268" t="s">
        <v>140</v>
      </c>
      <c r="C46" s="269"/>
      <c r="D46" s="269"/>
      <c r="E46" s="269"/>
    </row>
    <row r="47" spans="1:5" ht="16.5" customHeight="1" x14ac:dyDescent="0.3">
      <c r="A47" s="244"/>
      <c r="B47" s="268"/>
      <c r="C47" s="269"/>
      <c r="D47" s="269"/>
      <c r="E47" s="269"/>
    </row>
    <row r="48" spans="1:5" ht="16.5" customHeight="1" x14ac:dyDescent="0.3">
      <c r="A48" s="239" t="s">
        <v>1</v>
      </c>
      <c r="B48" s="240" t="s">
        <v>2</v>
      </c>
    </row>
    <row r="49" spans="1:5" ht="16.5" customHeight="1" x14ac:dyDescent="0.3">
      <c r="A49" s="241" t="s">
        <v>3</v>
      </c>
      <c r="B49" s="241" t="s">
        <v>137</v>
      </c>
      <c r="D49" s="242"/>
      <c r="E49" s="243"/>
    </row>
    <row r="50" spans="1:5" ht="16.5" customHeight="1" x14ac:dyDescent="0.3">
      <c r="A50" s="244" t="s">
        <v>4</v>
      </c>
      <c r="B50" s="245" t="str">
        <f>[1]LUMEFANTRINE!B26</f>
        <v>LUMEFANTRINE</v>
      </c>
      <c r="C50" s="243"/>
      <c r="D50" s="243"/>
      <c r="E50" s="243"/>
    </row>
    <row r="51" spans="1:5" ht="16.5" customHeight="1" x14ac:dyDescent="0.3">
      <c r="A51" s="244" t="s">
        <v>6</v>
      </c>
      <c r="B51" s="246">
        <f>[1]LUMEFANTRINE!B30</f>
        <v>100.2</v>
      </c>
      <c r="C51" s="243"/>
      <c r="D51" s="243"/>
      <c r="E51" s="243"/>
    </row>
    <row r="52" spans="1:5" ht="16.5" customHeight="1" x14ac:dyDescent="0.3">
      <c r="A52" s="241" t="s">
        <v>8</v>
      </c>
      <c r="B52" s="245">
        <f>[1]LUMEFANTRINE!D43</f>
        <v>14.52</v>
      </c>
      <c r="C52" s="243"/>
      <c r="D52" s="243"/>
      <c r="E52" s="243"/>
    </row>
    <row r="53" spans="1:5" ht="16.5" customHeight="1" x14ac:dyDescent="0.3">
      <c r="A53" s="241" t="s">
        <v>10</v>
      </c>
      <c r="B53" s="247">
        <f>B52/[1]LUMEFANTRINE!B45</f>
        <v>5.808E-2</v>
      </c>
      <c r="C53" s="243"/>
      <c r="D53" s="243"/>
      <c r="E53" s="243"/>
    </row>
    <row r="54" spans="1:5" ht="16.5" customHeight="1" x14ac:dyDescent="0.25">
      <c r="A54" s="243"/>
      <c r="B54" s="243"/>
      <c r="C54" s="243"/>
      <c r="D54" s="243"/>
      <c r="E54" s="243"/>
    </row>
    <row r="55" spans="1:5" ht="16.5" customHeight="1" x14ac:dyDescent="0.3">
      <c r="A55" s="248" t="s">
        <v>12</v>
      </c>
      <c r="B55" s="249" t="s">
        <v>13</v>
      </c>
      <c r="C55" s="248" t="s">
        <v>14</v>
      </c>
      <c r="D55" s="248" t="s">
        <v>15</v>
      </c>
      <c r="E55" s="248" t="s">
        <v>16</v>
      </c>
    </row>
    <row r="56" spans="1:5" ht="16.5" customHeight="1" x14ac:dyDescent="0.25">
      <c r="A56" s="250">
        <v>1</v>
      </c>
      <c r="B56" s="251">
        <v>7476000</v>
      </c>
      <c r="C56" s="252">
        <v>3926.73</v>
      </c>
      <c r="D56" s="252">
        <v>0.97</v>
      </c>
      <c r="E56" s="253">
        <v>3.8</v>
      </c>
    </row>
    <row r="57" spans="1:5" ht="16.5" customHeight="1" x14ac:dyDescent="0.25">
      <c r="A57" s="250">
        <v>2</v>
      </c>
      <c r="B57" s="251">
        <v>7495659</v>
      </c>
      <c r="C57" s="252">
        <v>3906.2</v>
      </c>
      <c r="D57" s="252">
        <v>0.97</v>
      </c>
      <c r="E57" s="252">
        <v>3.8</v>
      </c>
    </row>
    <row r="58" spans="1:5" ht="16.5" customHeight="1" x14ac:dyDescent="0.25">
      <c r="A58" s="250">
        <v>3</v>
      </c>
      <c r="B58" s="251">
        <v>7500415</v>
      </c>
      <c r="C58" s="252">
        <v>3890.42</v>
      </c>
      <c r="D58" s="252">
        <v>0.96</v>
      </c>
      <c r="E58" s="252">
        <v>3.8</v>
      </c>
    </row>
    <row r="59" spans="1:5" ht="16.5" customHeight="1" x14ac:dyDescent="0.25">
      <c r="A59" s="250">
        <v>4</v>
      </c>
      <c r="B59" s="251">
        <v>7507896</v>
      </c>
      <c r="C59" s="252">
        <v>3900.71</v>
      </c>
      <c r="D59" s="252">
        <v>0.96</v>
      </c>
      <c r="E59" s="252">
        <v>3.8</v>
      </c>
    </row>
    <row r="60" spans="1:5" ht="16.5" customHeight="1" x14ac:dyDescent="0.25">
      <c r="A60" s="250">
        <v>5</v>
      </c>
      <c r="B60" s="251">
        <v>7515115</v>
      </c>
      <c r="C60" s="252">
        <v>3894.7</v>
      </c>
      <c r="D60" s="252">
        <v>0.96</v>
      </c>
      <c r="E60" s="252">
        <v>3.8</v>
      </c>
    </row>
    <row r="61" spans="1:5" ht="16.5" customHeight="1" x14ac:dyDescent="0.25">
      <c r="A61" s="250">
        <v>6</v>
      </c>
      <c r="B61" s="254">
        <v>7507986</v>
      </c>
      <c r="C61" s="255">
        <v>3895.21</v>
      </c>
      <c r="D61" s="255">
        <v>0.98</v>
      </c>
      <c r="E61" s="255">
        <v>3.8</v>
      </c>
    </row>
    <row r="62" spans="1:5" ht="16.5" customHeight="1" x14ac:dyDescent="0.3">
      <c r="A62" s="256" t="s">
        <v>17</v>
      </c>
      <c r="B62" s="257">
        <f>AVERAGE(B56:B61)</f>
        <v>7500511.833333333</v>
      </c>
      <c r="C62" s="258">
        <f>AVERAGE(C56:C61)</f>
        <v>3902.3283333333334</v>
      </c>
      <c r="D62" s="258">
        <f>AVERAGE(D56:D61)</f>
        <v>0.96666666666666679</v>
      </c>
      <c r="E62" s="258">
        <f>AVERAGE(E56:E61)</f>
        <v>3.8000000000000003</v>
      </c>
    </row>
    <row r="63" spans="1:5" ht="16.5" customHeight="1" x14ac:dyDescent="0.3">
      <c r="A63" s="259" t="s">
        <v>18</v>
      </c>
      <c r="B63" s="260">
        <f>(STDEV(B56:B61)/B62)</f>
        <v>1.8358421819301941E-3</v>
      </c>
      <c r="C63" s="261"/>
      <c r="D63" s="261"/>
      <c r="E63" s="262"/>
    </row>
    <row r="64" spans="1:5" ht="16.5" customHeight="1" x14ac:dyDescent="0.3">
      <c r="A64" s="263" t="s">
        <v>19</v>
      </c>
      <c r="B64" s="264">
        <f>COUNT(B56:B61)</f>
        <v>6</v>
      </c>
      <c r="C64" s="265"/>
      <c r="D64" s="266"/>
      <c r="E64" s="267"/>
    </row>
    <row r="65" spans="1:5" ht="16.5" customHeight="1" x14ac:dyDescent="0.25">
      <c r="A65" s="243"/>
      <c r="B65" s="243"/>
      <c r="C65" s="243"/>
      <c r="D65" s="243"/>
      <c r="E65" s="243"/>
    </row>
    <row r="66" spans="1:5" ht="16.5" customHeight="1" x14ac:dyDescent="0.3">
      <c r="A66" s="244" t="s">
        <v>20</v>
      </c>
      <c r="B66" s="268" t="s">
        <v>138</v>
      </c>
      <c r="C66" s="269"/>
      <c r="D66" s="269"/>
      <c r="E66" s="269"/>
    </row>
    <row r="67" spans="1:5" ht="16.5" customHeight="1" x14ac:dyDescent="0.3">
      <c r="A67" s="244"/>
      <c r="B67" s="268" t="s">
        <v>139</v>
      </c>
      <c r="C67" s="269"/>
      <c r="D67" s="269"/>
      <c r="E67" s="269"/>
    </row>
    <row r="68" spans="1:5" ht="16.5" customHeight="1" x14ac:dyDescent="0.3">
      <c r="A68" s="244"/>
      <c r="B68" s="268" t="s">
        <v>140</v>
      </c>
      <c r="C68" s="269"/>
      <c r="D68" s="269"/>
      <c r="E68" s="269"/>
    </row>
    <row r="69" spans="1:5" ht="16.5" customHeight="1" x14ac:dyDescent="0.3">
      <c r="A69" s="244"/>
      <c r="B69" s="268"/>
      <c r="C69" s="269"/>
      <c r="D69" s="269"/>
      <c r="E69" s="269"/>
    </row>
    <row r="70" spans="1:5" ht="16.5" customHeight="1" x14ac:dyDescent="0.3">
      <c r="A70" s="244"/>
      <c r="B70" s="268"/>
      <c r="C70" s="269"/>
      <c r="D70" s="269"/>
      <c r="E70" s="269"/>
    </row>
    <row r="71" spans="1:5" ht="16.5" customHeight="1" x14ac:dyDescent="0.3">
      <c r="A71" s="244"/>
      <c r="B71" s="268"/>
      <c r="C71" s="269"/>
      <c r="D71" s="269"/>
      <c r="E71" s="269"/>
    </row>
    <row r="72" spans="1:5" ht="14.25" customHeight="1" thickBot="1" x14ac:dyDescent="0.3">
      <c r="A72" s="273"/>
      <c r="B72" s="274"/>
      <c r="D72" s="275"/>
    </row>
    <row r="73" spans="1:5" ht="15" customHeight="1" x14ac:dyDescent="0.3">
      <c r="B73" s="276" t="s">
        <v>22</v>
      </c>
      <c r="C73" s="277" t="s">
        <v>23</v>
      </c>
      <c r="E73" s="277" t="s">
        <v>24</v>
      </c>
    </row>
    <row r="74" spans="1:5" ht="15" customHeight="1" x14ac:dyDescent="0.3">
      <c r="A74" s="278" t="s">
        <v>25</v>
      </c>
      <c r="B74" s="279" t="s">
        <v>141</v>
      </c>
      <c r="C74" s="280"/>
      <c r="E74" s="279"/>
    </row>
    <row r="75" spans="1:5" ht="15" customHeight="1" x14ac:dyDescent="0.3">
      <c r="A75" s="278" t="s">
        <v>26</v>
      </c>
      <c r="B75" s="281" t="s">
        <v>142</v>
      </c>
      <c r="C75" s="282">
        <v>42359</v>
      </c>
      <c r="E75" s="283"/>
    </row>
  </sheetData>
  <sheetProtection formatCells="0" formatColumns="0" formatRows="0" insertColumns="0" insertRows="0" insertHyperlinks="0" deleteColumns="0" deleteRows="0" sort="0" autoFilter="0" pivotTables="0"/>
  <mergeCells count="1">
    <mergeCell ref="A4:E4"/>
  </mergeCells>
  <pageMargins left="0.7" right="0.7" top="0.75" bottom="0.75" header="0.3" footer="0.3"/>
  <pageSetup paperSize="9" scale="60" orientation="portrait" r:id="rId1"/>
  <rowBreaks count="1" manualBreakCount="1">
    <brk id="75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F37" sqref="F3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5.8554687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0" t="s">
        <v>27</v>
      </c>
      <c r="B11" s="291"/>
      <c r="C11" s="291"/>
      <c r="D11" s="291"/>
      <c r="E11" s="291"/>
      <c r="F11" s="292"/>
      <c r="G11" s="42"/>
    </row>
    <row r="12" spans="1:7" ht="16.5" customHeight="1" x14ac:dyDescent="0.3">
      <c r="A12" s="289" t="s">
        <v>28</v>
      </c>
      <c r="B12" s="289"/>
      <c r="C12" s="289"/>
      <c r="D12" s="289"/>
      <c r="E12" s="289"/>
      <c r="F12" s="289"/>
      <c r="G12" s="41"/>
    </row>
    <row r="14" spans="1:7" ht="16.5" customHeight="1" x14ac:dyDescent="0.3">
      <c r="A14" s="294" t="s">
        <v>29</v>
      </c>
      <c r="B14" s="294"/>
      <c r="C14" s="11" t="s">
        <v>5</v>
      </c>
    </row>
    <row r="15" spans="1:7" ht="16.5" customHeight="1" x14ac:dyDescent="0.3">
      <c r="A15" s="294" t="s">
        <v>30</v>
      </c>
      <c r="B15" s="294"/>
      <c r="C15" s="11" t="s">
        <v>7</v>
      </c>
    </row>
    <row r="16" spans="1:7" ht="16.5" customHeight="1" x14ac:dyDescent="0.3">
      <c r="A16" s="294" t="s">
        <v>31</v>
      </c>
      <c r="B16" s="294"/>
      <c r="C16" s="11" t="s">
        <v>9</v>
      </c>
    </row>
    <row r="17" spans="1:5" ht="16.5" customHeight="1" x14ac:dyDescent="0.3">
      <c r="A17" s="294" t="s">
        <v>32</v>
      </c>
      <c r="B17" s="294"/>
      <c r="C17" s="11" t="s">
        <v>11</v>
      </c>
    </row>
    <row r="18" spans="1:5" ht="16.5" customHeight="1" x14ac:dyDescent="0.3">
      <c r="A18" s="294" t="s">
        <v>33</v>
      </c>
      <c r="B18" s="294"/>
      <c r="C18" s="46" t="str">
        <f>ARTEMETHER!B22</f>
        <v>29th Oct 2015</v>
      </c>
    </row>
    <row r="19" spans="1:5" ht="16.5" customHeight="1" x14ac:dyDescent="0.3">
      <c r="A19" s="294" t="s">
        <v>34</v>
      </c>
      <c r="B19" s="294"/>
      <c r="C19" s="46" t="str">
        <f>ARTEMETHER!B23</f>
        <v>4th Dec 2015</v>
      </c>
    </row>
    <row r="20" spans="1:5" ht="16.5" customHeight="1" x14ac:dyDescent="0.3">
      <c r="A20" s="13"/>
      <c r="B20" s="13"/>
      <c r="C20" s="28"/>
    </row>
    <row r="21" spans="1:5" ht="16.5" customHeight="1" x14ac:dyDescent="0.3">
      <c r="A21" s="289" t="s">
        <v>1</v>
      </c>
      <c r="B21" s="289"/>
      <c r="C21" s="10" t="s">
        <v>35</v>
      </c>
      <c r="D21" s="17"/>
    </row>
    <row r="22" spans="1:5" ht="15.75" customHeight="1" x14ac:dyDescent="0.3">
      <c r="A22" s="293"/>
      <c r="B22" s="293"/>
      <c r="C22" s="8"/>
      <c r="D22" s="293"/>
      <c r="E22" s="293"/>
    </row>
    <row r="23" spans="1:5" ht="33.75" customHeight="1" x14ac:dyDescent="0.3">
      <c r="C23" s="37" t="s">
        <v>36</v>
      </c>
      <c r="D23" s="36" t="s">
        <v>37</v>
      </c>
      <c r="E23" s="3"/>
    </row>
    <row r="24" spans="1:5" ht="15.75" customHeight="1" x14ac:dyDescent="0.3">
      <c r="C24" s="127">
        <v>1086.76</v>
      </c>
      <c r="D24" s="38">
        <f t="shared" ref="D24:D43" si="0">(C24-$C$46)/$C$46</f>
        <v>1.4903322417833705E-2</v>
      </c>
      <c r="E24" s="4"/>
    </row>
    <row r="25" spans="1:5" ht="15.75" customHeight="1" x14ac:dyDescent="0.3">
      <c r="C25" s="127">
        <v>1071.8800000000001</v>
      </c>
      <c r="D25" s="39">
        <f t="shared" si="0"/>
        <v>1.0071894744264707E-3</v>
      </c>
      <c r="E25" s="4"/>
    </row>
    <row r="26" spans="1:5" ht="15.75" customHeight="1" x14ac:dyDescent="0.3">
      <c r="C26" s="127">
        <v>1090.76</v>
      </c>
      <c r="D26" s="39">
        <f t="shared" si="0"/>
        <v>1.8638842026276539E-2</v>
      </c>
      <c r="E26" s="4"/>
    </row>
    <row r="27" spans="1:5" ht="15.75" customHeight="1" x14ac:dyDescent="0.3">
      <c r="C27" s="127">
        <v>1080.1400000000001</v>
      </c>
      <c r="D27" s="39">
        <f t="shared" si="0"/>
        <v>8.721037465860915E-3</v>
      </c>
      <c r="E27" s="4"/>
    </row>
    <row r="28" spans="1:5" ht="15.75" customHeight="1" x14ac:dyDescent="0.3">
      <c r="C28" s="127">
        <v>1057.08</v>
      </c>
      <c r="D28" s="39">
        <f t="shared" si="0"/>
        <v>-1.2814233076812186E-2</v>
      </c>
      <c r="E28" s="4"/>
    </row>
    <row r="29" spans="1:5" ht="15.75" customHeight="1" x14ac:dyDescent="0.3">
      <c r="C29" s="127">
        <v>1072.26</v>
      </c>
      <c r="D29" s="39">
        <f t="shared" si="0"/>
        <v>1.3620638372284295E-3</v>
      </c>
      <c r="E29" s="4"/>
    </row>
    <row r="30" spans="1:5" ht="15.75" customHeight="1" x14ac:dyDescent="0.3">
      <c r="C30" s="127">
        <v>1073.2</v>
      </c>
      <c r="D30" s="39">
        <f t="shared" si="0"/>
        <v>2.2399109452125466E-3</v>
      </c>
      <c r="E30" s="4"/>
    </row>
    <row r="31" spans="1:5" ht="15.75" customHeight="1" x14ac:dyDescent="0.3">
      <c r="C31" s="127">
        <v>1066.97</v>
      </c>
      <c r="D31" s="39">
        <f t="shared" si="0"/>
        <v>-3.5781608449371853E-3</v>
      </c>
      <c r="E31" s="4"/>
    </row>
    <row r="32" spans="1:5" ht="15.75" customHeight="1" x14ac:dyDescent="0.3">
      <c r="C32" s="127">
        <v>1068.5</v>
      </c>
      <c r="D32" s="39">
        <f t="shared" si="0"/>
        <v>-2.1493245947078266E-3</v>
      </c>
      <c r="E32" s="4"/>
    </row>
    <row r="33" spans="1:7" ht="15.75" customHeight="1" x14ac:dyDescent="0.3">
      <c r="C33" s="127">
        <v>1066.76</v>
      </c>
      <c r="D33" s="39">
        <f t="shared" si="0"/>
        <v>-3.774275624380468E-3</v>
      </c>
      <c r="E33" s="4"/>
    </row>
    <row r="34" spans="1:7" ht="15.75" customHeight="1" x14ac:dyDescent="0.3">
      <c r="C34" s="127">
        <v>1060.46</v>
      </c>
      <c r="D34" s="39">
        <f t="shared" si="0"/>
        <v>-9.6577190076778899E-3</v>
      </c>
      <c r="E34" s="4"/>
    </row>
    <row r="35" spans="1:7" ht="15.75" customHeight="1" x14ac:dyDescent="0.3">
      <c r="C35" s="127">
        <v>1070.22</v>
      </c>
      <c r="D35" s="39">
        <f t="shared" si="0"/>
        <v>-5.4305116307738213E-4</v>
      </c>
      <c r="E35" s="4"/>
    </row>
    <row r="36" spans="1:7" ht="15.75" customHeight="1" x14ac:dyDescent="0.3">
      <c r="C36" s="127">
        <v>1056.3900000000001</v>
      </c>
      <c r="D36" s="39">
        <f t="shared" si="0"/>
        <v>-1.3458610209268414E-2</v>
      </c>
      <c r="E36" s="4"/>
    </row>
    <row r="37" spans="1:7" ht="15.75" customHeight="1" x14ac:dyDescent="0.3">
      <c r="C37" s="127">
        <v>1075.51</v>
      </c>
      <c r="D37" s="39">
        <f t="shared" si="0"/>
        <v>4.3971735190882323E-3</v>
      </c>
      <c r="E37" s="4"/>
    </row>
    <row r="38" spans="1:7" ht="15.75" customHeight="1" x14ac:dyDescent="0.3">
      <c r="C38" s="127">
        <v>1062.8900000000001</v>
      </c>
      <c r="D38" s="39">
        <f t="shared" si="0"/>
        <v>-7.3883908455488088E-3</v>
      </c>
      <c r="E38" s="4"/>
    </row>
    <row r="39" spans="1:7" ht="15.75" customHeight="1" x14ac:dyDescent="0.3">
      <c r="C39" s="127">
        <v>1066.5</v>
      </c>
      <c r="D39" s="39">
        <f t="shared" si="0"/>
        <v>-4.0170843989292436E-3</v>
      </c>
      <c r="E39" s="4"/>
    </row>
    <row r="40" spans="1:7" ht="15.75" customHeight="1" x14ac:dyDescent="0.3">
      <c r="C40" s="127">
        <v>1079.6400000000001</v>
      </c>
      <c r="D40" s="39">
        <f t="shared" si="0"/>
        <v>8.2540975148055612E-3</v>
      </c>
      <c r="E40" s="4"/>
    </row>
    <row r="41" spans="1:7" ht="15.75" customHeight="1" x14ac:dyDescent="0.3">
      <c r="C41" s="127">
        <v>1081.3699999999999</v>
      </c>
      <c r="D41" s="39">
        <f t="shared" si="0"/>
        <v>9.8697097454568915E-3</v>
      </c>
      <c r="E41" s="4"/>
    </row>
    <row r="42" spans="1:7" ht="15.75" customHeight="1" x14ac:dyDescent="0.3">
      <c r="C42" s="127">
        <v>1061.45</v>
      </c>
      <c r="D42" s="39">
        <f t="shared" si="0"/>
        <v>-8.7331779045882792E-3</v>
      </c>
      <c r="E42" s="4"/>
    </row>
    <row r="43" spans="1:7" ht="16.5" customHeight="1" x14ac:dyDescent="0.3">
      <c r="C43" s="128">
        <v>1067.29</v>
      </c>
      <c r="D43" s="40">
        <f t="shared" si="0"/>
        <v>-3.2793192762618178E-3</v>
      </c>
      <c r="E43" s="4"/>
    </row>
    <row r="44" spans="1:7" ht="16.5" customHeight="1" x14ac:dyDescent="0.3">
      <c r="C44" s="5"/>
      <c r="D44" s="4"/>
      <c r="E44" s="6"/>
    </row>
    <row r="45" spans="1:7" ht="16.5" customHeight="1" x14ac:dyDescent="0.3">
      <c r="B45" s="33" t="s">
        <v>38</v>
      </c>
      <c r="C45" s="34">
        <f>SUM(C24:C44)</f>
        <v>21416.03</v>
      </c>
      <c r="D45" s="29"/>
      <c r="E45" s="5"/>
    </row>
    <row r="46" spans="1:7" ht="17.25" customHeight="1" x14ac:dyDescent="0.3">
      <c r="B46" s="33" t="s">
        <v>39</v>
      </c>
      <c r="C46" s="35">
        <f>AVERAGE(C24:C44)</f>
        <v>1070.8015</v>
      </c>
      <c r="E46" s="7"/>
    </row>
    <row r="47" spans="1:7" ht="17.25" customHeight="1" x14ac:dyDescent="0.3">
      <c r="A47" s="11"/>
      <c r="B47" s="30"/>
      <c r="D47" s="9"/>
      <c r="E47" s="7"/>
    </row>
    <row r="48" spans="1:7" ht="33.75" customHeight="1" x14ac:dyDescent="0.3">
      <c r="B48" s="43" t="s">
        <v>39</v>
      </c>
      <c r="C48" s="36" t="s">
        <v>40</v>
      </c>
      <c r="D48" s="31"/>
      <c r="G48" s="9"/>
    </row>
    <row r="49" spans="1:6" ht="17.25" customHeight="1" x14ac:dyDescent="0.3">
      <c r="B49" s="287">
        <f>C46</f>
        <v>1070.8015</v>
      </c>
      <c r="C49" s="44">
        <f>-IF(C46&lt;=80,10%,IF(C46&lt;250,7.5%,5%))</f>
        <v>-0.05</v>
      </c>
      <c r="D49" s="32">
        <f>IF(C46&lt;=80,C46*0.9,IF(C46&lt;250,C46*0.925,C46*0.95))</f>
        <v>1017.261425</v>
      </c>
    </row>
    <row r="50" spans="1:6" ht="17.25" customHeight="1" x14ac:dyDescent="0.3">
      <c r="B50" s="288"/>
      <c r="C50" s="45">
        <f>IF(C46&lt;=80, 10%, IF(C46&lt;250, 7.5%, 5%))</f>
        <v>0.05</v>
      </c>
      <c r="D50" s="32">
        <f>IF(C46&lt;=80, C46*1.1, IF(C46&lt;250, C46*1.075, C46*1.05))</f>
        <v>1124.3415750000001</v>
      </c>
    </row>
    <row r="51" spans="1:6" ht="16.5" customHeight="1" x14ac:dyDescent="0.3">
      <c r="A51" s="14"/>
      <c r="B51" s="15"/>
      <c r="C51" s="11"/>
      <c r="D51" s="16"/>
      <c r="E51" s="11"/>
      <c r="F51" s="17"/>
    </row>
    <row r="52" spans="1:6" ht="16.5" customHeight="1" x14ac:dyDescent="0.3">
      <c r="A52" s="11"/>
      <c r="B52" s="18" t="s">
        <v>22</v>
      </c>
      <c r="C52" s="18"/>
      <c r="D52" s="19" t="s">
        <v>23</v>
      </c>
      <c r="E52" s="20"/>
      <c r="F52" s="19" t="s">
        <v>24</v>
      </c>
    </row>
    <row r="53" spans="1:6" ht="34.5" customHeight="1" x14ac:dyDescent="0.3">
      <c r="A53" s="21" t="s">
        <v>25</v>
      </c>
      <c r="B53" s="22"/>
      <c r="C53" s="23"/>
      <c r="D53" s="22"/>
      <c r="E53" s="12"/>
      <c r="F53" s="24"/>
    </row>
    <row r="54" spans="1:6" ht="34.5" customHeight="1" x14ac:dyDescent="0.3">
      <c r="A54" s="21" t="s">
        <v>26</v>
      </c>
      <c r="B54" s="25"/>
      <c r="C54" s="26"/>
      <c r="D54" s="25"/>
      <c r="E54" s="12"/>
      <c r="F54" s="27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view="pageBreakPreview" topLeftCell="A3" zoomScale="40" zoomScaleNormal="75" zoomScaleSheetLayoutView="40" zoomScalePageLayoutView="55" workbookViewId="0">
      <selection activeCell="B20" sqref="B20:C20"/>
    </sheetView>
  </sheetViews>
  <sheetFormatPr defaultRowHeight="15" x14ac:dyDescent="0.3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41.140625" style="1" customWidth="1"/>
    <col min="9" max="9" width="30.42578125" style="1" customWidth="1"/>
    <col min="10" max="10" width="21.28515625" style="1" customWidth="1"/>
    <col min="11" max="11" width="9.140625" style="1" customWidth="1"/>
    <col min="12" max="16384" width="9.140625" style="129"/>
  </cols>
  <sheetData>
    <row r="1" spans="1:8" x14ac:dyDescent="0.3">
      <c r="A1" s="323" t="s">
        <v>41</v>
      </c>
      <c r="B1" s="323"/>
      <c r="C1" s="323"/>
      <c r="D1" s="323"/>
      <c r="E1" s="323"/>
      <c r="F1" s="323"/>
      <c r="G1" s="323"/>
      <c r="H1" s="323"/>
    </row>
    <row r="2" spans="1:8" x14ac:dyDescent="0.3">
      <c r="A2" s="323"/>
      <c r="B2" s="323"/>
      <c r="C2" s="323"/>
      <c r="D2" s="323"/>
      <c r="E2" s="323"/>
      <c r="F2" s="323"/>
      <c r="G2" s="323"/>
      <c r="H2" s="323"/>
    </row>
    <row r="3" spans="1:8" x14ac:dyDescent="0.3">
      <c r="A3" s="323"/>
      <c r="B3" s="323"/>
      <c r="C3" s="323"/>
      <c r="D3" s="323"/>
      <c r="E3" s="323"/>
      <c r="F3" s="323"/>
      <c r="G3" s="323"/>
      <c r="H3" s="323"/>
    </row>
    <row r="4" spans="1:8" x14ac:dyDescent="0.3">
      <c r="A4" s="323"/>
      <c r="B4" s="323"/>
      <c r="C4" s="323"/>
      <c r="D4" s="323"/>
      <c r="E4" s="323"/>
      <c r="F4" s="323"/>
      <c r="G4" s="323"/>
      <c r="H4" s="323"/>
    </row>
    <row r="5" spans="1:8" x14ac:dyDescent="0.3">
      <c r="A5" s="323"/>
      <c r="B5" s="323"/>
      <c r="C5" s="323"/>
      <c r="D5" s="323"/>
      <c r="E5" s="323"/>
      <c r="F5" s="323"/>
      <c r="G5" s="323"/>
      <c r="H5" s="323"/>
    </row>
    <row r="6" spans="1:8" x14ac:dyDescent="0.3">
      <c r="A6" s="323"/>
      <c r="B6" s="323"/>
      <c r="C6" s="323"/>
      <c r="D6" s="323"/>
      <c r="E6" s="323"/>
      <c r="F6" s="323"/>
      <c r="G6" s="323"/>
      <c r="H6" s="323"/>
    </row>
    <row r="7" spans="1:8" x14ac:dyDescent="0.3">
      <c r="A7" s="323"/>
      <c r="B7" s="323"/>
      <c r="C7" s="323"/>
      <c r="D7" s="323"/>
      <c r="E7" s="323"/>
      <c r="F7" s="323"/>
      <c r="G7" s="323"/>
      <c r="H7" s="323"/>
    </row>
    <row r="8" spans="1:8" x14ac:dyDescent="0.3">
      <c r="A8" s="324" t="s">
        <v>42</v>
      </c>
      <c r="B8" s="324"/>
      <c r="C8" s="324"/>
      <c r="D8" s="324"/>
      <c r="E8" s="324"/>
      <c r="F8" s="324"/>
      <c r="G8" s="324"/>
      <c r="H8" s="324"/>
    </row>
    <row r="9" spans="1:8" x14ac:dyDescent="0.3">
      <c r="A9" s="324"/>
      <c r="B9" s="324"/>
      <c r="C9" s="324"/>
      <c r="D9" s="324"/>
      <c r="E9" s="324"/>
      <c r="F9" s="324"/>
      <c r="G9" s="324"/>
      <c r="H9" s="324"/>
    </row>
    <row r="10" spans="1:8" x14ac:dyDescent="0.3">
      <c r="A10" s="324"/>
      <c r="B10" s="324"/>
      <c r="C10" s="324"/>
      <c r="D10" s="324"/>
      <c r="E10" s="324"/>
      <c r="F10" s="324"/>
      <c r="G10" s="324"/>
      <c r="H10" s="324"/>
    </row>
    <row r="11" spans="1:8" x14ac:dyDescent="0.3">
      <c r="A11" s="324"/>
      <c r="B11" s="324"/>
      <c r="C11" s="324"/>
      <c r="D11" s="324"/>
      <c r="E11" s="324"/>
      <c r="F11" s="324"/>
      <c r="G11" s="324"/>
      <c r="H11" s="324"/>
    </row>
    <row r="12" spans="1:8" x14ac:dyDescent="0.3">
      <c r="A12" s="324"/>
      <c r="B12" s="324"/>
      <c r="C12" s="324"/>
      <c r="D12" s="324"/>
      <c r="E12" s="324"/>
      <c r="F12" s="324"/>
      <c r="G12" s="324"/>
      <c r="H12" s="324"/>
    </row>
    <row r="13" spans="1:8" x14ac:dyDescent="0.3">
      <c r="A13" s="324"/>
      <c r="B13" s="324"/>
      <c r="C13" s="324"/>
      <c r="D13" s="324"/>
      <c r="E13" s="324"/>
      <c r="F13" s="324"/>
      <c r="G13" s="324"/>
      <c r="H13" s="324"/>
    </row>
    <row r="14" spans="1:8" x14ac:dyDescent="0.3">
      <c r="A14" s="324"/>
      <c r="B14" s="324"/>
      <c r="C14" s="324"/>
      <c r="D14" s="324"/>
      <c r="E14" s="324"/>
      <c r="F14" s="324"/>
      <c r="G14" s="324"/>
      <c r="H14" s="324"/>
    </row>
    <row r="15" spans="1:8" ht="19.5" customHeight="1" x14ac:dyDescent="0.3"/>
    <row r="16" spans="1:8" ht="19.5" customHeight="1" x14ac:dyDescent="0.3">
      <c r="A16" s="325" t="s">
        <v>27</v>
      </c>
      <c r="B16" s="326"/>
      <c r="C16" s="326"/>
      <c r="D16" s="326"/>
      <c r="E16" s="326"/>
      <c r="F16" s="326"/>
      <c r="G16" s="326"/>
      <c r="H16" s="327"/>
    </row>
    <row r="17" spans="1:13" ht="18.75" x14ac:dyDescent="0.3">
      <c r="A17" s="60" t="s">
        <v>43</v>
      </c>
      <c r="B17" s="60"/>
    </row>
    <row r="18" spans="1:13" ht="26.25" x14ac:dyDescent="0.4">
      <c r="A18" s="61" t="s">
        <v>29</v>
      </c>
      <c r="B18" s="329" t="s">
        <v>5</v>
      </c>
      <c r="C18" s="329"/>
      <c r="D18" s="57"/>
      <c r="E18" s="47"/>
      <c r="F18" s="136"/>
      <c r="G18" s="136"/>
      <c r="H18" s="136"/>
    </row>
    <row r="19" spans="1:13" ht="26.25" x14ac:dyDescent="0.4">
      <c r="A19" s="61" t="s">
        <v>30</v>
      </c>
      <c r="B19" s="120" t="s">
        <v>7</v>
      </c>
      <c r="C19" s="136">
        <v>15</v>
      </c>
      <c r="D19" s="136"/>
      <c r="E19" s="136"/>
      <c r="F19" s="136"/>
      <c r="G19" s="136"/>
      <c r="H19" s="136"/>
    </row>
    <row r="20" spans="1:13" ht="26.25" x14ac:dyDescent="0.4">
      <c r="A20" s="61" t="s">
        <v>31</v>
      </c>
      <c r="B20" s="329" t="s">
        <v>9</v>
      </c>
      <c r="C20" s="329"/>
      <c r="D20" s="136"/>
      <c r="E20" s="136"/>
      <c r="F20" s="136"/>
      <c r="G20" s="136"/>
      <c r="H20" s="136"/>
    </row>
    <row r="21" spans="1:13" ht="26.25" x14ac:dyDescent="0.4">
      <c r="A21" s="61" t="s">
        <v>32</v>
      </c>
      <c r="B21" s="329" t="s">
        <v>11</v>
      </c>
      <c r="C21" s="329"/>
      <c r="D21" s="329"/>
      <c r="E21" s="329"/>
      <c r="F21" s="329"/>
      <c r="G21" s="329"/>
      <c r="H21" s="329"/>
    </row>
    <row r="22" spans="1:13" ht="26.25" x14ac:dyDescent="0.4">
      <c r="A22" s="61" t="s">
        <v>33</v>
      </c>
      <c r="B22" s="137" t="s">
        <v>118</v>
      </c>
      <c r="C22" s="136"/>
      <c r="D22" s="136"/>
      <c r="E22" s="136"/>
      <c r="F22" s="136"/>
      <c r="G22" s="136"/>
      <c r="H22" s="136"/>
    </row>
    <row r="23" spans="1:13" ht="23.25" x14ac:dyDescent="0.35">
      <c r="A23" s="61" t="s">
        <v>34</v>
      </c>
      <c r="B23" s="138" t="s">
        <v>119</v>
      </c>
    </row>
    <row r="24" spans="1:13" ht="18.75" x14ac:dyDescent="0.3">
      <c r="A24" s="61"/>
      <c r="B24" s="139"/>
    </row>
    <row r="25" spans="1:13" ht="18.75" x14ac:dyDescent="0.3">
      <c r="A25" s="62" t="s">
        <v>1</v>
      </c>
      <c r="B25" s="139"/>
    </row>
    <row r="26" spans="1:13" ht="26.25" customHeight="1" x14ac:dyDescent="0.4">
      <c r="A26" s="88" t="s">
        <v>4</v>
      </c>
      <c r="B26" s="328" t="s">
        <v>115</v>
      </c>
      <c r="C26" s="328"/>
    </row>
    <row r="27" spans="1:13" ht="26.25" customHeight="1" x14ac:dyDescent="0.4">
      <c r="A27" s="88" t="s">
        <v>44</v>
      </c>
      <c r="B27" s="94" t="s">
        <v>104</v>
      </c>
    </row>
    <row r="28" spans="1:13" ht="27" customHeight="1" x14ac:dyDescent="0.4">
      <c r="A28" s="88" t="s">
        <v>6</v>
      </c>
      <c r="B28" s="94">
        <v>99.8</v>
      </c>
    </row>
    <row r="29" spans="1:13" s="26" customFormat="1" ht="27" customHeight="1" x14ac:dyDescent="0.4">
      <c r="A29" s="88" t="s">
        <v>45</v>
      </c>
      <c r="B29" s="94">
        <v>0</v>
      </c>
      <c r="C29" s="297" t="s">
        <v>46</v>
      </c>
      <c r="D29" s="298"/>
      <c r="E29" s="298"/>
      <c r="F29" s="298"/>
      <c r="G29" s="299"/>
      <c r="I29" s="63"/>
      <c r="J29" s="63"/>
      <c r="K29" s="63"/>
    </row>
    <row r="30" spans="1:13" s="26" customFormat="1" ht="19.5" customHeight="1" x14ac:dyDescent="0.3">
      <c r="A30" s="88" t="s">
        <v>47</v>
      </c>
      <c r="B30" s="123">
        <f>B28-B29</f>
        <v>99.8</v>
      </c>
      <c r="C30" s="140"/>
      <c r="D30" s="140"/>
      <c r="E30" s="140"/>
      <c r="F30" s="140"/>
      <c r="G30" s="141"/>
      <c r="I30" s="63"/>
      <c r="J30" s="63"/>
      <c r="K30" s="63"/>
    </row>
    <row r="31" spans="1:13" s="26" customFormat="1" ht="27" customHeight="1" x14ac:dyDescent="0.4">
      <c r="A31" s="88" t="s">
        <v>48</v>
      </c>
      <c r="B31" s="95">
        <v>1</v>
      </c>
      <c r="C31" s="302" t="s">
        <v>49</v>
      </c>
      <c r="D31" s="303"/>
      <c r="E31" s="303"/>
      <c r="F31" s="303"/>
      <c r="G31" s="303"/>
      <c r="H31" s="304"/>
      <c r="I31" s="63"/>
      <c r="J31" s="63"/>
      <c r="K31" s="63"/>
    </row>
    <row r="32" spans="1:13" s="26" customFormat="1" ht="27" customHeight="1" x14ac:dyDescent="0.4">
      <c r="A32" s="88" t="s">
        <v>50</v>
      </c>
      <c r="B32" s="95">
        <v>1</v>
      </c>
      <c r="C32" s="302" t="s">
        <v>51</v>
      </c>
      <c r="D32" s="303"/>
      <c r="E32" s="303"/>
      <c r="F32" s="303"/>
      <c r="G32" s="303"/>
      <c r="H32" s="304"/>
      <c r="I32" s="63"/>
      <c r="J32" s="63"/>
      <c r="K32" s="65"/>
      <c r="L32" s="65"/>
      <c r="M32" s="142"/>
    </row>
    <row r="33" spans="1:13" s="26" customFormat="1" ht="17.25" customHeight="1" x14ac:dyDescent="0.3">
      <c r="A33" s="88"/>
      <c r="B33" s="64"/>
      <c r="C33" s="66"/>
      <c r="D33" s="66"/>
      <c r="E33" s="66"/>
      <c r="F33" s="66"/>
      <c r="G33" s="66"/>
      <c r="H33" s="66"/>
      <c r="I33" s="63"/>
      <c r="J33" s="63"/>
      <c r="K33" s="65"/>
      <c r="L33" s="65"/>
      <c r="M33" s="142"/>
    </row>
    <row r="34" spans="1:13" s="26" customFormat="1" ht="18.75" x14ac:dyDescent="0.3">
      <c r="A34" s="88" t="s">
        <v>52</v>
      </c>
      <c r="B34" s="67">
        <f>B31/B32</f>
        <v>1</v>
      </c>
      <c r="C34" s="61" t="s">
        <v>53</v>
      </c>
      <c r="D34" s="61"/>
      <c r="E34" s="61"/>
      <c r="F34" s="61"/>
      <c r="G34" s="61"/>
      <c r="I34" s="63"/>
      <c r="J34" s="63"/>
      <c r="K34" s="65"/>
      <c r="L34" s="65"/>
      <c r="M34" s="142"/>
    </row>
    <row r="35" spans="1:13" s="26" customFormat="1" ht="19.5" customHeight="1" x14ac:dyDescent="0.3">
      <c r="A35" s="88"/>
      <c r="B35" s="123"/>
      <c r="G35" s="61"/>
      <c r="I35" s="63"/>
      <c r="J35" s="63"/>
      <c r="K35" s="65"/>
      <c r="L35" s="65"/>
      <c r="M35" s="142"/>
    </row>
    <row r="36" spans="1:13" s="26" customFormat="1" ht="27" customHeight="1" x14ac:dyDescent="0.4">
      <c r="A36" s="143" t="s">
        <v>105</v>
      </c>
      <c r="B36" s="96">
        <v>100</v>
      </c>
      <c r="C36" s="61"/>
      <c r="D36" s="300" t="s">
        <v>55</v>
      </c>
      <c r="E36" s="312"/>
      <c r="F36" s="300" t="s">
        <v>56</v>
      </c>
      <c r="G36" s="301"/>
      <c r="I36" s="63"/>
      <c r="J36" s="63"/>
      <c r="K36" s="65"/>
      <c r="L36" s="65"/>
      <c r="M36" s="142"/>
    </row>
    <row r="37" spans="1:13" s="26" customFormat="1" ht="26.25" customHeight="1" x14ac:dyDescent="0.4">
      <c r="A37" s="144" t="s">
        <v>120</v>
      </c>
      <c r="B37" s="97">
        <v>1</v>
      </c>
      <c r="C37" s="68" t="s">
        <v>106</v>
      </c>
      <c r="D37" s="69" t="s">
        <v>58</v>
      </c>
      <c r="E37" s="85" t="s">
        <v>59</v>
      </c>
      <c r="F37" s="69" t="s">
        <v>58</v>
      </c>
      <c r="G37" s="70" t="s">
        <v>59</v>
      </c>
      <c r="I37" s="63"/>
      <c r="J37" s="63"/>
      <c r="K37" s="65"/>
      <c r="L37" s="65"/>
      <c r="M37" s="142"/>
    </row>
    <row r="38" spans="1:13" s="26" customFormat="1" ht="26.25" customHeight="1" x14ac:dyDescent="0.4">
      <c r="A38" s="144" t="s">
        <v>121</v>
      </c>
      <c r="B38" s="97">
        <v>1</v>
      </c>
      <c r="C38" s="145">
        <v>1</v>
      </c>
      <c r="D38" s="126">
        <v>2445795</v>
      </c>
      <c r="E38" s="146">
        <f>IF(ISBLANK(D38),"-",$D$48/$D$45*D38)</f>
        <v>2246284.5030115223</v>
      </c>
      <c r="F38" s="98">
        <v>2363403</v>
      </c>
      <c r="G38" s="147">
        <f>IF(ISBLANK(F38),"-",$D$48/$F$45*F38)</f>
        <v>2247877.8154315273</v>
      </c>
      <c r="I38" s="63"/>
      <c r="J38" s="63"/>
      <c r="K38" s="65"/>
      <c r="L38" s="65"/>
      <c r="M38" s="142"/>
    </row>
    <row r="39" spans="1:13" s="26" customFormat="1" ht="26.25" customHeight="1" x14ac:dyDescent="0.4">
      <c r="A39" s="144" t="s">
        <v>122</v>
      </c>
      <c r="B39" s="97">
        <v>1</v>
      </c>
      <c r="C39" s="89">
        <v>2</v>
      </c>
      <c r="D39" s="126">
        <v>2453895</v>
      </c>
      <c r="E39" s="148">
        <f>IF(ISBLANK(D39),"-",$D$48/$D$45*D39)</f>
        <v>2253723.7628327231</v>
      </c>
      <c r="F39" s="98">
        <v>2367855</v>
      </c>
      <c r="G39" s="149">
        <f>IF(ISBLANK(F39),"-",$D$48/$F$45*F39)</f>
        <v>2252112.1978175617</v>
      </c>
      <c r="I39" s="63"/>
      <c r="J39" s="63"/>
      <c r="K39" s="65"/>
      <c r="L39" s="65"/>
      <c r="M39" s="142"/>
    </row>
    <row r="40" spans="1:13" ht="26.25" customHeight="1" x14ac:dyDescent="0.4">
      <c r="A40" s="144" t="s">
        <v>123</v>
      </c>
      <c r="B40" s="97">
        <v>1</v>
      </c>
      <c r="C40" s="89">
        <v>3</v>
      </c>
      <c r="D40" s="126">
        <v>2446125</v>
      </c>
      <c r="E40" s="148">
        <f>IF(ISBLANK(D40),"-",$D$48/$D$45*D40)</f>
        <v>2246587.5839672009</v>
      </c>
      <c r="F40" s="98">
        <v>2364427</v>
      </c>
      <c r="G40" s="149">
        <f>IF(ISBLANK(F40),"-",$D$48/$F$45*F40)</f>
        <v>2248851.7614250807</v>
      </c>
      <c r="K40" s="65"/>
      <c r="L40" s="65"/>
      <c r="M40" s="61"/>
    </row>
    <row r="41" spans="1:13" ht="26.25" customHeight="1" x14ac:dyDescent="0.4">
      <c r="A41" s="144" t="s">
        <v>124</v>
      </c>
      <c r="B41" s="97">
        <v>1</v>
      </c>
      <c r="C41" s="150">
        <v>4</v>
      </c>
      <c r="D41" s="100">
        <v>2434205</v>
      </c>
      <c r="E41" s="151">
        <f>IF(ISBLANK(D41),"-",$D$48/$D$45*D41)</f>
        <v>2235639.9324772367</v>
      </c>
      <c r="F41" s="100">
        <v>2353511</v>
      </c>
      <c r="G41" s="152">
        <f>IF(ISBLANK(F41),"-",$D$48/$F$45*F41)</f>
        <v>2238469.3449547407</v>
      </c>
      <c r="K41" s="65"/>
      <c r="L41" s="65"/>
      <c r="M41" s="61"/>
    </row>
    <row r="42" spans="1:13" ht="27" customHeight="1" thickBot="1" x14ac:dyDescent="0.45">
      <c r="A42" s="144" t="s">
        <v>125</v>
      </c>
      <c r="B42" s="97">
        <v>1</v>
      </c>
      <c r="C42" s="153" t="s">
        <v>61</v>
      </c>
      <c r="D42" s="71">
        <f>AVERAGE(D38:D41)</f>
        <v>2445005</v>
      </c>
      <c r="E42" s="76">
        <f>AVERAGE(E38:E41)</f>
        <v>2245558.9455721704</v>
      </c>
      <c r="F42" s="71">
        <f>AVERAGE(F38:F41)</f>
        <v>2362299</v>
      </c>
      <c r="G42" s="72">
        <f>AVERAGE(G38:G41)</f>
        <v>2246827.7799072275</v>
      </c>
      <c r="H42" s="135"/>
    </row>
    <row r="43" spans="1:13" ht="26.25" customHeight="1" x14ac:dyDescent="0.4">
      <c r="A43" s="144" t="s">
        <v>126</v>
      </c>
      <c r="B43" s="94">
        <v>1</v>
      </c>
      <c r="C43" s="154" t="s">
        <v>93</v>
      </c>
      <c r="D43" s="102">
        <v>21.82</v>
      </c>
      <c r="E43" s="61"/>
      <c r="F43" s="102">
        <v>21.07</v>
      </c>
      <c r="H43" s="135"/>
    </row>
    <row r="44" spans="1:13" ht="26.25" customHeight="1" x14ac:dyDescent="0.4">
      <c r="A44" s="144" t="s">
        <v>127</v>
      </c>
      <c r="B44" s="94">
        <v>1</v>
      </c>
      <c r="C44" s="155" t="s">
        <v>94</v>
      </c>
      <c r="D44" s="156">
        <f>D43*$B$34</f>
        <v>21.82</v>
      </c>
      <c r="E44" s="123"/>
      <c r="F44" s="157">
        <f>F43*$B$34</f>
        <v>21.07</v>
      </c>
      <c r="H44" s="135"/>
    </row>
    <row r="45" spans="1:13" ht="19.5" customHeight="1" x14ac:dyDescent="0.3">
      <c r="A45" s="144" t="s">
        <v>64</v>
      </c>
      <c r="B45" s="123">
        <f>(B44/B43)*(B42/B41)*(B40/B39)*(B38/B37)*B36</f>
        <v>100</v>
      </c>
      <c r="C45" s="155" t="s">
        <v>65</v>
      </c>
      <c r="D45" s="158">
        <f>D44*$B$30/100</f>
        <v>21.77636</v>
      </c>
      <c r="E45" s="64"/>
      <c r="F45" s="159">
        <f>F44*$B$30/100</f>
        <v>21.02786</v>
      </c>
      <c r="H45" s="135"/>
    </row>
    <row r="46" spans="1:13" ht="19.5" customHeight="1" x14ac:dyDescent="0.3">
      <c r="A46" s="313" t="s">
        <v>66</v>
      </c>
      <c r="B46" s="317"/>
      <c r="C46" s="155" t="s">
        <v>67</v>
      </c>
      <c r="D46" s="156">
        <f>D45/$B$45</f>
        <v>0.2177636</v>
      </c>
      <c r="E46" s="64"/>
      <c r="F46" s="160">
        <f>F45/$B$45</f>
        <v>0.21027860000000001</v>
      </c>
      <c r="H46" s="135"/>
    </row>
    <row r="47" spans="1:13" ht="27" customHeight="1" x14ac:dyDescent="0.4">
      <c r="A47" s="315"/>
      <c r="B47" s="318"/>
      <c r="C47" s="155" t="s">
        <v>107</v>
      </c>
      <c r="D47" s="103">
        <v>0.2</v>
      </c>
      <c r="F47" s="161"/>
      <c r="H47" s="135"/>
    </row>
    <row r="48" spans="1:13" ht="18.75" x14ac:dyDescent="0.3">
      <c r="C48" s="155" t="s">
        <v>69</v>
      </c>
      <c r="D48" s="156">
        <f>D47*$B$45</f>
        <v>20</v>
      </c>
      <c r="F48" s="161"/>
      <c r="H48" s="135"/>
    </row>
    <row r="49" spans="1:11" ht="19.5" customHeight="1" x14ac:dyDescent="0.3">
      <c r="C49" s="162" t="s">
        <v>70</v>
      </c>
      <c r="D49" s="163">
        <f>D48/B34</f>
        <v>20</v>
      </c>
      <c r="F49" s="83"/>
      <c r="H49" s="135"/>
    </row>
    <row r="50" spans="1:11" ht="18.75" x14ac:dyDescent="0.3">
      <c r="C50" s="164" t="s">
        <v>71</v>
      </c>
      <c r="D50" s="90">
        <f>AVERAGE(E38:E41,G38:G41)</f>
        <v>2246193.362739699</v>
      </c>
      <c r="F50" s="83"/>
      <c r="H50" s="135"/>
    </row>
    <row r="51" spans="1:11" ht="18.75" x14ac:dyDescent="0.3">
      <c r="C51" s="165" t="s">
        <v>72</v>
      </c>
      <c r="D51" s="78">
        <f>STDEV(E38:E41,G38:G41)/D50</f>
        <v>2.7794591369649192E-3</v>
      </c>
      <c r="F51" s="83"/>
    </row>
    <row r="52" spans="1:11" ht="19.5" customHeight="1" x14ac:dyDescent="0.3">
      <c r="C52" s="166" t="s">
        <v>19</v>
      </c>
      <c r="D52" s="79">
        <f>COUNT(E38:E41,G38:G41)</f>
        <v>8</v>
      </c>
      <c r="F52" s="83"/>
    </row>
    <row r="54" spans="1:11" ht="18.75" x14ac:dyDescent="0.3">
      <c r="A54" s="60" t="s">
        <v>1</v>
      </c>
      <c r="B54" s="73" t="s">
        <v>73</v>
      </c>
    </row>
    <row r="55" spans="1:11" ht="18.75" x14ac:dyDescent="0.3">
      <c r="A55" s="61" t="s">
        <v>74</v>
      </c>
      <c r="B55" s="73" t="str">
        <f>B21</f>
        <v>Each dispersible tablets contains Artemether 80mg,Lumefantine 480mg</v>
      </c>
    </row>
    <row r="56" spans="1:11" ht="26.25" customHeight="1" x14ac:dyDescent="0.4">
      <c r="A56" s="73" t="s">
        <v>75</v>
      </c>
      <c r="B56" s="94">
        <v>80</v>
      </c>
      <c r="C56" s="61" t="str">
        <f>B20</f>
        <v>Artemether 80mg, Lumefantrine 480mg</v>
      </c>
      <c r="H56" s="123"/>
    </row>
    <row r="57" spans="1:11" ht="18.75" x14ac:dyDescent="0.3">
      <c r="A57" s="73" t="s">
        <v>76</v>
      </c>
      <c r="B57" s="117">
        <f>Uniformity!C46</f>
        <v>1070.8015</v>
      </c>
      <c r="H57" s="123"/>
    </row>
    <row r="58" spans="1:11" ht="19.5" customHeight="1" x14ac:dyDescent="0.3">
      <c r="H58" s="123"/>
    </row>
    <row r="59" spans="1:11" s="26" customFormat="1" ht="27" customHeight="1" thickBot="1" x14ac:dyDescent="0.45">
      <c r="A59" s="143" t="s">
        <v>108</v>
      </c>
      <c r="B59" s="96">
        <v>100</v>
      </c>
      <c r="C59" s="61"/>
      <c r="D59" s="75" t="s">
        <v>78</v>
      </c>
      <c r="E59" s="74" t="s">
        <v>57</v>
      </c>
      <c r="F59" s="74" t="s">
        <v>58</v>
      </c>
      <c r="G59" s="74" t="s">
        <v>79</v>
      </c>
      <c r="H59" s="68" t="s">
        <v>80</v>
      </c>
      <c r="K59" s="63"/>
    </row>
    <row r="60" spans="1:11" s="26" customFormat="1" ht="22.5" customHeight="1" x14ac:dyDescent="0.4">
      <c r="A60" s="144" t="s">
        <v>128</v>
      </c>
      <c r="B60" s="97">
        <v>1</v>
      </c>
      <c r="C60" s="305" t="s">
        <v>81</v>
      </c>
      <c r="D60" s="309">
        <v>269.7</v>
      </c>
      <c r="E60" s="74">
        <v>1</v>
      </c>
      <c r="F60" s="104">
        <v>2341690</v>
      </c>
      <c r="G60" s="167">
        <f>IF(ISBLANK(F60),"-",(F60/$D$50*$D$47*$B$68)*($B$57/$D$60))</f>
        <v>82.78283243330155</v>
      </c>
      <c r="H60" s="168">
        <f t="shared" ref="H60:H71" si="0">IF(ISBLANK(F60),"-",G60/$B$56)</f>
        <v>1.0347854054162693</v>
      </c>
      <c r="K60" s="63"/>
    </row>
    <row r="61" spans="1:11" s="26" customFormat="1" ht="26.25" customHeight="1" x14ac:dyDescent="0.4">
      <c r="A61" s="144" t="s">
        <v>129</v>
      </c>
      <c r="B61" s="97">
        <v>1</v>
      </c>
      <c r="C61" s="306"/>
      <c r="D61" s="310"/>
      <c r="E61" s="169">
        <v>2</v>
      </c>
      <c r="F61" s="99">
        <v>2343580</v>
      </c>
      <c r="G61" s="170">
        <f>IF(ISBLANK(F61),"-",(F61/$D$50*$D$47*$B$68)*($B$57/$D$60))</f>
        <v>82.849647235132252</v>
      </c>
      <c r="H61" s="171">
        <f t="shared" si="0"/>
        <v>1.0356205904391531</v>
      </c>
      <c r="K61" s="63"/>
    </row>
    <row r="62" spans="1:11" s="26" customFormat="1" ht="26.25" customHeight="1" x14ac:dyDescent="0.4">
      <c r="A62" s="144" t="s">
        <v>130</v>
      </c>
      <c r="B62" s="97">
        <v>1</v>
      </c>
      <c r="C62" s="306"/>
      <c r="D62" s="310"/>
      <c r="E62" s="169">
        <v>3</v>
      </c>
      <c r="F62" s="53">
        <v>2341143</v>
      </c>
      <c r="G62" s="170">
        <f>IF(ISBLANK(F62),"-",(F62/$D$50*$D$47*$B$68)*($B$57/$D$60))</f>
        <v>82.763495027692343</v>
      </c>
      <c r="H62" s="171">
        <f t="shared" si="0"/>
        <v>1.0345436878461542</v>
      </c>
      <c r="K62" s="63"/>
    </row>
    <row r="63" spans="1:11" ht="21" customHeight="1" thickBot="1" x14ac:dyDescent="0.45">
      <c r="A63" s="144" t="s">
        <v>131</v>
      </c>
      <c r="B63" s="97">
        <v>1</v>
      </c>
      <c r="C63" s="307"/>
      <c r="D63" s="311"/>
      <c r="E63" s="172">
        <v>4</v>
      </c>
      <c r="F63" s="105"/>
      <c r="G63" s="170" t="str">
        <f>IF(ISBLANK(F63),"-",(F63/$D$50*$D$47*$B$68)*($B$57/$D$60))</f>
        <v>-</v>
      </c>
      <c r="H63" s="171" t="str">
        <f t="shared" si="0"/>
        <v>-</v>
      </c>
    </row>
    <row r="64" spans="1:11" ht="26.25" customHeight="1" x14ac:dyDescent="0.4">
      <c r="A64" s="144" t="s">
        <v>132</v>
      </c>
      <c r="B64" s="97">
        <v>1</v>
      </c>
      <c r="C64" s="305" t="s">
        <v>82</v>
      </c>
      <c r="D64" s="309">
        <v>271.27</v>
      </c>
      <c r="E64" s="74">
        <v>1</v>
      </c>
      <c r="F64" s="104">
        <v>2361921</v>
      </c>
      <c r="G64" s="75">
        <f>IF(ISBLANK(F64),"-",(F64/$D$50*$D$47*$B$68)*($B$57/$D$64))</f>
        <v>83.014781100622201</v>
      </c>
      <c r="H64" s="173">
        <f t="shared" si="0"/>
        <v>1.0376847637577775</v>
      </c>
    </row>
    <row r="65" spans="1:8" ht="26.25" customHeight="1" x14ac:dyDescent="0.4">
      <c r="A65" s="144" t="s">
        <v>133</v>
      </c>
      <c r="B65" s="97">
        <v>1</v>
      </c>
      <c r="C65" s="306"/>
      <c r="D65" s="310"/>
      <c r="E65" s="169">
        <v>2</v>
      </c>
      <c r="F65" s="99">
        <v>2361427</v>
      </c>
      <c r="G65" s="174">
        <f>IF(ISBLANK(F65),"-",(F65/$D$50*$D$47*$B$68)*($B$57/$D$64))</f>
        <v>82.997418410733886</v>
      </c>
      <c r="H65" s="175">
        <f t="shared" si="0"/>
        <v>1.0374677301341735</v>
      </c>
    </row>
    <row r="66" spans="1:8" ht="26.25" customHeight="1" x14ac:dyDescent="0.4">
      <c r="A66" s="144" t="s">
        <v>134</v>
      </c>
      <c r="B66" s="97">
        <v>1</v>
      </c>
      <c r="C66" s="306"/>
      <c r="D66" s="310"/>
      <c r="E66" s="169">
        <v>3</v>
      </c>
      <c r="F66" s="99">
        <v>2359141</v>
      </c>
      <c r="G66" s="174">
        <f>IF(ISBLANK(F66),"-",(F66/$D$50*$D$47*$B$68)*($B$57/$D$64))</f>
        <v>82.917072036068504</v>
      </c>
      <c r="H66" s="175">
        <f t="shared" si="0"/>
        <v>1.0364634004508564</v>
      </c>
    </row>
    <row r="67" spans="1:8" ht="21" customHeight="1" thickBot="1" x14ac:dyDescent="0.45">
      <c r="A67" s="144" t="s">
        <v>135</v>
      </c>
      <c r="B67" s="97">
        <v>1</v>
      </c>
      <c r="C67" s="307"/>
      <c r="D67" s="311"/>
      <c r="E67" s="172">
        <v>4</v>
      </c>
      <c r="F67" s="105"/>
      <c r="G67" s="176" t="str">
        <f>IF(ISBLANK(F67),"-",(F67/$D$50*$D$47*$B$68)*($B$57/$D$64))</f>
        <v>-</v>
      </c>
      <c r="H67" s="177" t="str">
        <f t="shared" si="0"/>
        <v>-</v>
      </c>
    </row>
    <row r="68" spans="1:8" ht="21.75" customHeight="1" x14ac:dyDescent="0.4">
      <c r="A68" s="144" t="s">
        <v>83</v>
      </c>
      <c r="B68" s="89">
        <f>(B67/B66)*(B65/B64)*(B63/B62)*(B61/B60)*B59</f>
        <v>100</v>
      </c>
      <c r="C68" s="305" t="s">
        <v>84</v>
      </c>
      <c r="D68" s="309">
        <v>272.39999999999998</v>
      </c>
      <c r="E68" s="74">
        <v>1</v>
      </c>
      <c r="F68" s="104">
        <v>2334614</v>
      </c>
      <c r="G68" s="75">
        <f>IF(ISBLANK(F68),"-",(F68/$D$50*$D$47*$B$68)*($B$57/$D$68))</f>
        <v>81.714628238879627</v>
      </c>
      <c r="H68" s="171">
        <f t="shared" si="0"/>
        <v>1.0214328529859953</v>
      </c>
    </row>
    <row r="69" spans="1:8" ht="21.75" customHeight="1" thickBot="1" x14ac:dyDescent="0.45">
      <c r="A69" s="178" t="s">
        <v>85</v>
      </c>
      <c r="B69" s="179">
        <f>D47*B68/B56*B57</f>
        <v>267.70037500000001</v>
      </c>
      <c r="C69" s="306"/>
      <c r="D69" s="310"/>
      <c r="E69" s="169">
        <v>2</v>
      </c>
      <c r="F69" s="99">
        <v>2341941</v>
      </c>
      <c r="G69" s="174">
        <f>IF(ISBLANK(F69),"-",(F69/$D$50*$D$47*$B$68)*($B$57/$D$68))</f>
        <v>81.971083087992284</v>
      </c>
      <c r="H69" s="171">
        <f t="shared" si="0"/>
        <v>1.0246385385999035</v>
      </c>
    </row>
    <row r="70" spans="1:8" ht="22.5" customHeight="1" x14ac:dyDescent="0.4">
      <c r="A70" s="319" t="s">
        <v>66</v>
      </c>
      <c r="B70" s="320"/>
      <c r="C70" s="306"/>
      <c r="D70" s="310"/>
      <c r="E70" s="169">
        <v>3</v>
      </c>
      <c r="F70" s="99">
        <v>2327954</v>
      </c>
      <c r="G70" s="174">
        <f>IF(ISBLANK(F70),"-",(F70/$D$50*$D$47*$B$68)*($B$57/$D$68))</f>
        <v>81.481519286362868</v>
      </c>
      <c r="H70" s="171">
        <f t="shared" si="0"/>
        <v>1.0185189910795358</v>
      </c>
    </row>
    <row r="71" spans="1:8" ht="21.75" customHeight="1" thickBot="1" x14ac:dyDescent="0.45">
      <c r="A71" s="321"/>
      <c r="B71" s="322"/>
      <c r="C71" s="308"/>
      <c r="D71" s="311"/>
      <c r="E71" s="172">
        <v>4</v>
      </c>
      <c r="F71" s="105"/>
      <c r="G71" s="176" t="str">
        <f>IF(ISBLANK(F71),"-",(F71/$D$50*$D$47*$B$68)*($B$57/$D$68))</f>
        <v>-</v>
      </c>
      <c r="H71" s="180" t="str">
        <f t="shared" si="0"/>
        <v>-</v>
      </c>
    </row>
    <row r="72" spans="1:8" ht="26.25" customHeight="1" x14ac:dyDescent="0.4">
      <c r="A72" s="123"/>
      <c r="B72" s="123"/>
      <c r="C72" s="123"/>
      <c r="D72" s="123"/>
      <c r="E72" s="123"/>
      <c r="F72" s="123"/>
      <c r="G72" s="181" t="s">
        <v>61</v>
      </c>
      <c r="H72" s="106">
        <f>AVERAGE(H60:H71)</f>
        <v>1.0312395511899797</v>
      </c>
    </row>
    <row r="73" spans="1:8" ht="26.25" customHeight="1" x14ac:dyDescent="0.4">
      <c r="C73" s="123"/>
      <c r="D73" s="123"/>
      <c r="E73" s="123"/>
      <c r="F73" s="123"/>
      <c r="G73" s="165" t="s">
        <v>72</v>
      </c>
      <c r="H73" s="107">
        <f>STDEV(H60:H71)/H72</f>
        <v>7.2878226245147665E-3</v>
      </c>
    </row>
    <row r="74" spans="1:8" ht="27" customHeight="1" x14ac:dyDescent="0.4">
      <c r="A74" s="123"/>
      <c r="B74" s="123"/>
      <c r="C74" s="123"/>
      <c r="D74" s="123"/>
      <c r="E74" s="64"/>
      <c r="F74" s="123"/>
      <c r="G74" s="166" t="s">
        <v>19</v>
      </c>
      <c r="H74" s="108">
        <f>COUNT(H60:H71)</f>
        <v>9</v>
      </c>
    </row>
    <row r="75" spans="1:8" ht="18.75" x14ac:dyDescent="0.3">
      <c r="A75" s="123"/>
      <c r="B75" s="123"/>
      <c r="C75" s="123"/>
      <c r="D75" s="123"/>
      <c r="E75" s="64"/>
      <c r="F75" s="123"/>
      <c r="G75" s="88"/>
      <c r="H75" s="123"/>
    </row>
    <row r="76" spans="1:8" ht="18.75" x14ac:dyDescent="0.3">
      <c r="A76" s="88" t="s">
        <v>109</v>
      </c>
      <c r="B76" s="88" t="s">
        <v>102</v>
      </c>
      <c r="C76" s="295" t="str">
        <f>B20</f>
        <v>Artemether 80mg, Lumefantrine 480mg</v>
      </c>
      <c r="D76" s="295"/>
      <c r="E76" s="61" t="s">
        <v>88</v>
      </c>
      <c r="F76" s="61"/>
      <c r="G76" s="93">
        <f>H72</f>
        <v>1.0312395511899797</v>
      </c>
      <c r="H76" s="123"/>
    </row>
    <row r="77" spans="1:8" ht="18.75" x14ac:dyDescent="0.3">
      <c r="A77" s="123"/>
      <c r="B77" s="123"/>
      <c r="C77" s="123"/>
      <c r="D77" s="123"/>
      <c r="E77" s="64"/>
      <c r="F77" s="123"/>
      <c r="G77" s="88"/>
      <c r="H77" s="123"/>
    </row>
    <row r="78" spans="1:8" ht="26.25" customHeight="1" x14ac:dyDescent="0.4">
      <c r="A78" s="62" t="s">
        <v>110</v>
      </c>
      <c r="B78" s="62" t="s">
        <v>111</v>
      </c>
      <c r="D78" s="112" t="s">
        <v>112</v>
      </c>
    </row>
    <row r="79" spans="1:8" ht="18.75" x14ac:dyDescent="0.3">
      <c r="A79" s="62"/>
      <c r="B79" s="62"/>
    </row>
    <row r="80" spans="1:8" ht="26.25" customHeight="1" x14ac:dyDescent="0.4">
      <c r="A80" s="88" t="s">
        <v>4</v>
      </c>
      <c r="B80" s="328" t="str">
        <f>B26</f>
        <v>ARTEMETHER</v>
      </c>
      <c r="C80" s="328"/>
    </row>
    <row r="81" spans="1:11" ht="26.25" customHeight="1" x14ac:dyDescent="0.4">
      <c r="A81" s="88" t="s">
        <v>44</v>
      </c>
      <c r="B81" s="94" t="str">
        <f>B27</f>
        <v>F0J018</v>
      </c>
    </row>
    <row r="82" spans="1:11" ht="27" customHeight="1" x14ac:dyDescent="0.4">
      <c r="A82" s="88" t="s">
        <v>6</v>
      </c>
      <c r="B82" s="94">
        <f>B28</f>
        <v>99.8</v>
      </c>
    </row>
    <row r="83" spans="1:11" s="26" customFormat="1" ht="27" customHeight="1" x14ac:dyDescent="0.4">
      <c r="A83" s="88" t="s">
        <v>45</v>
      </c>
      <c r="B83" s="94">
        <f>B29</f>
        <v>0</v>
      </c>
      <c r="C83" s="297" t="s">
        <v>46</v>
      </c>
      <c r="D83" s="298"/>
      <c r="E83" s="298"/>
      <c r="F83" s="298"/>
      <c r="G83" s="299"/>
      <c r="I83" s="63"/>
      <c r="J83" s="63"/>
      <c r="K83" s="63"/>
    </row>
    <row r="84" spans="1:11" s="26" customFormat="1" ht="19.5" customHeight="1" x14ac:dyDescent="0.3">
      <c r="A84" s="88" t="s">
        <v>47</v>
      </c>
      <c r="B84" s="123">
        <f>B82-B83</f>
        <v>99.8</v>
      </c>
      <c r="C84" s="140"/>
      <c r="D84" s="140"/>
      <c r="E84" s="140"/>
      <c r="F84" s="140"/>
      <c r="G84" s="141"/>
      <c r="I84" s="63"/>
      <c r="J84" s="63"/>
      <c r="K84" s="63"/>
    </row>
    <row r="85" spans="1:11" s="26" customFormat="1" ht="27" customHeight="1" x14ac:dyDescent="0.4">
      <c r="A85" s="88" t="s">
        <v>48</v>
      </c>
      <c r="B85" s="95">
        <v>1</v>
      </c>
      <c r="C85" s="302" t="s">
        <v>49</v>
      </c>
      <c r="D85" s="303"/>
      <c r="E85" s="303"/>
      <c r="F85" s="303"/>
      <c r="G85" s="303"/>
      <c r="H85" s="304"/>
      <c r="I85" s="63"/>
      <c r="J85" s="63"/>
      <c r="K85" s="63"/>
    </row>
    <row r="86" spans="1:11" s="26" customFormat="1" ht="27" customHeight="1" x14ac:dyDescent="0.4">
      <c r="A86" s="88" t="s">
        <v>50</v>
      </c>
      <c r="B86" s="95">
        <v>1</v>
      </c>
      <c r="C86" s="302" t="s">
        <v>51</v>
      </c>
      <c r="D86" s="303"/>
      <c r="E86" s="303"/>
      <c r="F86" s="303"/>
      <c r="G86" s="303"/>
      <c r="H86" s="304"/>
      <c r="I86" s="63"/>
      <c r="J86" s="63"/>
      <c r="K86" s="63"/>
    </row>
    <row r="87" spans="1:11" s="26" customFormat="1" ht="18.75" x14ac:dyDescent="0.3">
      <c r="A87" s="88"/>
      <c r="B87" s="123"/>
      <c r="C87" s="140"/>
      <c r="D87" s="140"/>
      <c r="E87" s="140"/>
      <c r="F87" s="140"/>
      <c r="G87" s="141"/>
      <c r="I87" s="63"/>
      <c r="J87" s="63"/>
      <c r="K87" s="63"/>
    </row>
    <row r="88" spans="1:11" s="26" customFormat="1" ht="18.75" x14ac:dyDescent="0.3">
      <c r="A88" s="88" t="s">
        <v>52</v>
      </c>
      <c r="B88" s="67">
        <f>B85/B86</f>
        <v>1</v>
      </c>
      <c r="C88" s="61" t="s">
        <v>53</v>
      </c>
      <c r="D88" s="140"/>
      <c r="E88" s="140"/>
      <c r="F88" s="140"/>
      <c r="G88" s="141"/>
      <c r="I88" s="63"/>
      <c r="J88" s="63"/>
      <c r="K88" s="63"/>
    </row>
    <row r="89" spans="1:11" ht="19.5" customHeight="1" x14ac:dyDescent="0.3">
      <c r="A89" s="62"/>
      <c r="B89" s="62"/>
    </row>
    <row r="90" spans="1:11" ht="27" customHeight="1" x14ac:dyDescent="0.4">
      <c r="A90" s="143" t="s">
        <v>105</v>
      </c>
      <c r="B90" s="96">
        <v>100</v>
      </c>
      <c r="D90" s="121" t="s">
        <v>55</v>
      </c>
      <c r="E90" s="125"/>
      <c r="F90" s="300" t="s">
        <v>56</v>
      </c>
      <c r="G90" s="301"/>
    </row>
    <row r="91" spans="1:11" ht="26.25" customHeight="1" x14ac:dyDescent="0.4">
      <c r="A91" s="144" t="s">
        <v>120</v>
      </c>
      <c r="B91" s="97">
        <v>5</v>
      </c>
      <c r="C91" s="124" t="s">
        <v>106</v>
      </c>
      <c r="D91" s="69" t="s">
        <v>58</v>
      </c>
      <c r="E91" s="85" t="s">
        <v>59</v>
      </c>
      <c r="F91" s="69" t="s">
        <v>58</v>
      </c>
      <c r="G91" s="70" t="s">
        <v>59</v>
      </c>
    </row>
    <row r="92" spans="1:11" ht="26.25" customHeight="1" x14ac:dyDescent="0.4">
      <c r="A92" s="144" t="s">
        <v>121</v>
      </c>
      <c r="B92" s="97">
        <v>50</v>
      </c>
      <c r="C92" s="182">
        <v>1</v>
      </c>
      <c r="D92" s="98">
        <v>1591675</v>
      </c>
      <c r="E92" s="146">
        <f>IF(ISBLANK(D92),"-",$D$102/$D$99*D92)</f>
        <v>1066799.1501397446</v>
      </c>
      <c r="F92" s="98">
        <v>1387513</v>
      </c>
      <c r="G92" s="147">
        <f>IF(ISBLANK(F92),"-",$D$102/$F$99*F92)</f>
        <v>1059775.9597327102</v>
      </c>
    </row>
    <row r="93" spans="1:11" ht="26.25" customHeight="1" x14ac:dyDescent="0.4">
      <c r="A93" s="144" t="s">
        <v>122</v>
      </c>
      <c r="B93" s="97">
        <v>1</v>
      </c>
      <c r="C93" s="123">
        <v>2</v>
      </c>
      <c r="D93" s="99">
        <v>1585029</v>
      </c>
      <c r="E93" s="148">
        <f>IF(ISBLANK(D93),"-",$D$102/$D$99*D93)</f>
        <v>1062344.7564024371</v>
      </c>
      <c r="F93" s="99">
        <v>1383775</v>
      </c>
      <c r="G93" s="149">
        <f>IF(ISBLANK(F93),"-",$D$102/$F$99*F93)</f>
        <v>1056920.8927621802</v>
      </c>
    </row>
    <row r="94" spans="1:11" ht="26.25" customHeight="1" x14ac:dyDescent="0.4">
      <c r="A94" s="144" t="s">
        <v>123</v>
      </c>
      <c r="B94" s="97">
        <v>1</v>
      </c>
      <c r="C94" s="123">
        <v>3</v>
      </c>
      <c r="D94" s="99">
        <v>1583369</v>
      </c>
      <c r="E94" s="148">
        <f>IF(ISBLANK(D94),"-",$D$102/$D$99*D94)</f>
        <v>1061232.1633233023</v>
      </c>
      <c r="F94" s="99">
        <v>1383653</v>
      </c>
      <c r="G94" s="149">
        <f>IF(ISBLANK(F94),"-",$D$102/$F$99*F94)</f>
        <v>1056827.7097310391</v>
      </c>
    </row>
    <row r="95" spans="1:11" ht="26.25" customHeight="1" x14ac:dyDescent="0.4">
      <c r="A95" s="144" t="s">
        <v>124</v>
      </c>
      <c r="B95" s="97">
        <v>1</v>
      </c>
      <c r="C95" s="183">
        <v>4</v>
      </c>
      <c r="D95" s="100"/>
      <c r="E95" s="151" t="str">
        <f>IF(ISBLANK(D95),"-",$D$102/$D$99*D95)</f>
        <v>-</v>
      </c>
      <c r="F95" s="109"/>
      <c r="G95" s="152" t="str">
        <f>IF(ISBLANK(F95),"-",$D$102/$F$99*F95)</f>
        <v>-</v>
      </c>
    </row>
    <row r="96" spans="1:11" ht="27" customHeight="1" x14ac:dyDescent="0.4">
      <c r="A96" s="144" t="s">
        <v>125</v>
      </c>
      <c r="B96" s="97">
        <v>1</v>
      </c>
      <c r="C96" s="88" t="s">
        <v>61</v>
      </c>
      <c r="D96" s="91">
        <f>AVERAGE(D92:D95)</f>
        <v>1586691</v>
      </c>
      <c r="E96" s="76">
        <f>AVERAGE(E92:E95)</f>
        <v>1063458.6899551614</v>
      </c>
      <c r="F96" s="84">
        <f>AVERAGE(F92:F95)</f>
        <v>1384980.3333333333</v>
      </c>
      <c r="G96" s="86">
        <f>AVERAGE(G92:G95)</f>
        <v>1057841.5207419766</v>
      </c>
    </row>
    <row r="97" spans="1:9" ht="26.25" customHeight="1" x14ac:dyDescent="0.4">
      <c r="A97" s="144" t="s">
        <v>126</v>
      </c>
      <c r="B97" s="94">
        <v>1</v>
      </c>
      <c r="C97" s="154" t="s">
        <v>93</v>
      </c>
      <c r="D97" s="101">
        <v>23.92</v>
      </c>
      <c r="E97" s="61"/>
      <c r="F97" s="102">
        <v>20.99</v>
      </c>
    </row>
    <row r="98" spans="1:9" ht="26.25" customHeight="1" x14ac:dyDescent="0.4">
      <c r="A98" s="144" t="s">
        <v>127</v>
      </c>
      <c r="B98" s="94">
        <v>1</v>
      </c>
      <c r="C98" s="155" t="s">
        <v>94</v>
      </c>
      <c r="D98" s="156">
        <f>D97*B88</f>
        <v>23.92</v>
      </c>
      <c r="E98" s="123"/>
      <c r="F98" s="157">
        <f>F97*B88</f>
        <v>20.99</v>
      </c>
    </row>
    <row r="99" spans="1:9" ht="19.5" customHeight="1" x14ac:dyDescent="0.3">
      <c r="A99" s="144" t="s">
        <v>64</v>
      </c>
      <c r="B99" s="123">
        <f>(B98/B97)*(B96/B95)*(B94/B93)*(B92/B91)*B90</f>
        <v>1000</v>
      </c>
      <c r="C99" s="155" t="s">
        <v>65</v>
      </c>
      <c r="D99" s="158">
        <f>D98*$B$84/100</f>
        <v>23.872159999999997</v>
      </c>
      <c r="E99" s="64"/>
      <c r="F99" s="159">
        <f>F98*$B$84/100</f>
        <v>20.948019999999996</v>
      </c>
    </row>
    <row r="100" spans="1:9" ht="19.5" customHeight="1" x14ac:dyDescent="0.3">
      <c r="A100" s="313" t="s">
        <v>66</v>
      </c>
      <c r="B100" s="317"/>
      <c r="C100" s="155" t="s">
        <v>67</v>
      </c>
      <c r="D100" s="156">
        <f>D99/$B$99</f>
        <v>2.3872159999999996E-2</v>
      </c>
      <c r="E100" s="64"/>
      <c r="F100" s="160">
        <f>F99/$B$99</f>
        <v>2.0948019999999998E-2</v>
      </c>
      <c r="H100" s="135"/>
    </row>
    <row r="101" spans="1:9" ht="19.5" customHeight="1" x14ac:dyDescent="0.3">
      <c r="A101" s="315"/>
      <c r="B101" s="318"/>
      <c r="C101" s="155" t="s">
        <v>107</v>
      </c>
      <c r="D101" s="158">
        <f>$B$56/$B$117</f>
        <v>1.6E-2</v>
      </c>
      <c r="F101" s="161"/>
      <c r="G101" s="184"/>
      <c r="H101" s="135"/>
    </row>
    <row r="102" spans="1:9" ht="18.75" x14ac:dyDescent="0.3">
      <c r="C102" s="155" t="s">
        <v>69</v>
      </c>
      <c r="D102" s="156">
        <f>D101*$B$99</f>
        <v>16</v>
      </c>
      <c r="F102" s="161"/>
      <c r="H102" s="135"/>
    </row>
    <row r="103" spans="1:9" ht="19.5" customHeight="1" x14ac:dyDescent="0.3">
      <c r="C103" s="162" t="s">
        <v>70</v>
      </c>
      <c r="D103" s="163">
        <f>D102/B34</f>
        <v>16</v>
      </c>
      <c r="F103" s="83"/>
      <c r="H103" s="135"/>
      <c r="I103" s="77"/>
    </row>
    <row r="104" spans="1:9" ht="18.75" x14ac:dyDescent="0.3">
      <c r="C104" s="164" t="s">
        <v>97</v>
      </c>
      <c r="D104" s="90">
        <f>AVERAGE(E92:E95,G92:G95)</f>
        <v>1060650.1053485691</v>
      </c>
      <c r="F104" s="83"/>
      <c r="G104" s="184"/>
      <c r="H104" s="135"/>
      <c r="I104" s="185"/>
    </row>
    <row r="105" spans="1:9" ht="18.75" x14ac:dyDescent="0.3">
      <c r="C105" s="165" t="s">
        <v>72</v>
      </c>
      <c r="D105" s="78">
        <f>STDEV(E92:E95,G92:G95)/D104</f>
        <v>3.5353349130577087E-3</v>
      </c>
      <c r="F105" s="83"/>
      <c r="H105" s="135"/>
      <c r="I105" s="185"/>
    </row>
    <row r="106" spans="1:9" ht="19.5" customHeight="1" x14ac:dyDescent="0.3">
      <c r="C106" s="166" t="s">
        <v>19</v>
      </c>
      <c r="D106" s="79">
        <f>COUNT(E92:E95,G92:G95)</f>
        <v>6</v>
      </c>
      <c r="F106" s="83"/>
      <c r="H106" s="135"/>
      <c r="I106" s="185"/>
    </row>
    <row r="107" spans="1:9" ht="19.5" customHeight="1" x14ac:dyDescent="0.3">
      <c r="A107" s="60"/>
      <c r="B107" s="60"/>
      <c r="C107" s="60"/>
      <c r="D107" s="60"/>
      <c r="E107" s="60"/>
    </row>
    <row r="108" spans="1:9" ht="26.25" customHeight="1" x14ac:dyDescent="0.4">
      <c r="A108" s="143" t="s">
        <v>98</v>
      </c>
      <c r="B108" s="96">
        <v>1000</v>
      </c>
      <c r="C108" s="121" t="s">
        <v>113</v>
      </c>
      <c r="D108" s="80" t="s">
        <v>58</v>
      </c>
      <c r="E108" s="81" t="s">
        <v>100</v>
      </c>
      <c r="F108" s="82" t="s">
        <v>101</v>
      </c>
    </row>
    <row r="109" spans="1:9" ht="26.25" customHeight="1" x14ac:dyDescent="0.4">
      <c r="A109" s="144" t="s">
        <v>128</v>
      </c>
      <c r="B109" s="97">
        <v>4</v>
      </c>
      <c r="C109" s="186">
        <v>1</v>
      </c>
      <c r="D109" s="110">
        <v>623729</v>
      </c>
      <c r="E109" s="187">
        <f t="shared" ref="E109:E114" si="1">IF(ISBLANK(D109),"-",D109/$D$104*$D$101*$B$117)</f>
        <v>47.045033747110743</v>
      </c>
      <c r="F109" s="188">
        <f t="shared" ref="F109:F114" si="2">IF(ISBLANK(D109), "-", E109/$B$56)</f>
        <v>0.58806292183888431</v>
      </c>
    </row>
    <row r="110" spans="1:9" ht="26.25" customHeight="1" x14ac:dyDescent="0.4">
      <c r="A110" s="144" t="s">
        <v>129</v>
      </c>
      <c r="B110" s="97">
        <v>20</v>
      </c>
      <c r="C110" s="186">
        <v>2</v>
      </c>
      <c r="D110" s="110">
        <v>616776</v>
      </c>
      <c r="E110" s="189">
        <f t="shared" si="1"/>
        <v>46.520600668572371</v>
      </c>
      <c r="F110" s="190">
        <f t="shared" si="2"/>
        <v>0.58150750835715459</v>
      </c>
    </row>
    <row r="111" spans="1:9" ht="26.25" customHeight="1" x14ac:dyDescent="0.4">
      <c r="A111" s="144" t="s">
        <v>130</v>
      </c>
      <c r="B111" s="97">
        <v>1</v>
      </c>
      <c r="C111" s="186">
        <v>3</v>
      </c>
      <c r="D111" s="110">
        <v>621924</v>
      </c>
      <c r="E111" s="189">
        <f t="shared" si="1"/>
        <v>46.908890829411654</v>
      </c>
      <c r="F111" s="190">
        <f t="shared" si="2"/>
        <v>0.58636113536764567</v>
      </c>
    </row>
    <row r="112" spans="1:9" ht="26.25" customHeight="1" x14ac:dyDescent="0.4">
      <c r="A112" s="144" t="s">
        <v>131</v>
      </c>
      <c r="B112" s="97">
        <v>1</v>
      </c>
      <c r="C112" s="186">
        <v>4</v>
      </c>
      <c r="D112" s="110">
        <v>572668</v>
      </c>
      <c r="E112" s="189">
        <f t="shared" si="1"/>
        <v>43.19373539772949</v>
      </c>
      <c r="F112" s="190">
        <f t="shared" si="2"/>
        <v>0.53992169247161859</v>
      </c>
    </row>
    <row r="113" spans="1:9" ht="26.25" customHeight="1" x14ac:dyDescent="0.4">
      <c r="A113" s="144" t="s">
        <v>132</v>
      </c>
      <c r="B113" s="97">
        <v>1</v>
      </c>
      <c r="C113" s="186">
        <v>5</v>
      </c>
      <c r="D113" s="110">
        <v>543766</v>
      </c>
      <c r="E113" s="189">
        <f t="shared" si="1"/>
        <v>41.013789354882363</v>
      </c>
      <c r="F113" s="190">
        <f t="shared" si="2"/>
        <v>0.51267236693602958</v>
      </c>
    </row>
    <row r="114" spans="1:9" ht="26.25" customHeight="1" x14ac:dyDescent="0.4">
      <c r="A114" s="144" t="s">
        <v>133</v>
      </c>
      <c r="B114" s="97">
        <v>1</v>
      </c>
      <c r="C114" s="191">
        <v>6</v>
      </c>
      <c r="D114" s="111">
        <v>609257</v>
      </c>
      <c r="E114" s="192">
        <f t="shared" si="1"/>
        <v>45.953476791464645</v>
      </c>
      <c r="F114" s="193">
        <f t="shared" si="2"/>
        <v>0.57441845989330809</v>
      </c>
    </row>
    <row r="115" spans="1:9" ht="26.25" customHeight="1" x14ac:dyDescent="0.4">
      <c r="A115" s="144" t="s">
        <v>134</v>
      </c>
      <c r="B115" s="97">
        <v>1</v>
      </c>
      <c r="C115" s="186"/>
      <c r="D115" s="123"/>
      <c r="E115" s="61"/>
      <c r="F115" s="194"/>
    </row>
    <row r="116" spans="1:9" ht="26.25" customHeight="1" x14ac:dyDescent="0.4">
      <c r="A116" s="144" t="s">
        <v>135</v>
      </c>
      <c r="B116" s="97">
        <v>1</v>
      </c>
      <c r="C116" s="186"/>
      <c r="D116" s="83"/>
      <c r="E116" s="195" t="s">
        <v>61</v>
      </c>
      <c r="F116" s="113">
        <f>AVERAGE(F109:F114)</f>
        <v>0.56382401414410677</v>
      </c>
    </row>
    <row r="117" spans="1:9" ht="27" customHeight="1" x14ac:dyDescent="0.4">
      <c r="A117" s="144" t="s">
        <v>83</v>
      </c>
      <c r="B117" s="89">
        <f>(B116/B115)*(B114/B113)*(B112/B111)*(B110/B109)*B108</f>
        <v>5000</v>
      </c>
      <c r="C117" s="196"/>
      <c r="D117" s="197"/>
      <c r="E117" s="88" t="s">
        <v>72</v>
      </c>
      <c r="F117" s="114">
        <f>STDEV(F109:F114)/F116</f>
        <v>5.4425094287912971E-2</v>
      </c>
    </row>
    <row r="118" spans="1:9" ht="27" customHeight="1" x14ac:dyDescent="0.4">
      <c r="A118" s="313" t="s">
        <v>66</v>
      </c>
      <c r="B118" s="314"/>
      <c r="C118" s="198"/>
      <c r="D118" s="199"/>
      <c r="E118" s="200" t="s">
        <v>19</v>
      </c>
      <c r="F118" s="115">
        <f>COUNT(F109:F114)</f>
        <v>6</v>
      </c>
      <c r="I118" s="185"/>
    </row>
    <row r="119" spans="1:9" ht="19.5" customHeight="1" x14ac:dyDescent="0.3">
      <c r="A119" s="315"/>
      <c r="B119" s="316"/>
      <c r="C119" s="61"/>
      <c r="D119" s="61"/>
      <c r="E119" s="61"/>
      <c r="F119" s="123"/>
      <c r="G119" s="61"/>
      <c r="H119" s="61"/>
    </row>
    <row r="120" spans="1:9" ht="18.75" x14ac:dyDescent="0.3">
      <c r="A120" s="66"/>
      <c r="B120" s="66"/>
      <c r="C120" s="61"/>
      <c r="D120" s="61"/>
      <c r="E120" s="61"/>
      <c r="F120" s="123"/>
      <c r="G120" s="61"/>
      <c r="H120" s="61"/>
    </row>
    <row r="121" spans="1:9" ht="26.25" customHeight="1" x14ac:dyDescent="0.4">
      <c r="A121" s="88" t="s">
        <v>109</v>
      </c>
      <c r="B121" s="88" t="s">
        <v>102</v>
      </c>
      <c r="C121" s="295" t="str">
        <f>B20</f>
        <v>Artemether 80mg, Lumefantrine 480mg</v>
      </c>
      <c r="D121" s="295"/>
      <c r="E121" s="61" t="s">
        <v>103</v>
      </c>
      <c r="F121" s="61"/>
      <c r="G121" s="116">
        <f>F116</f>
        <v>0.56382401414410677</v>
      </c>
      <c r="H121" s="61"/>
    </row>
    <row r="122" spans="1:9" ht="18.75" x14ac:dyDescent="0.3">
      <c r="A122" s="66"/>
      <c r="B122" s="66"/>
      <c r="C122" s="61"/>
      <c r="D122" s="61"/>
      <c r="E122" s="61"/>
      <c r="F122" s="123"/>
      <c r="G122" s="61"/>
      <c r="H122" s="61"/>
    </row>
    <row r="123" spans="1:9" ht="26.25" customHeight="1" x14ac:dyDescent="0.4">
      <c r="A123" s="62" t="s">
        <v>110</v>
      </c>
      <c r="B123" s="62" t="s">
        <v>111</v>
      </c>
      <c r="D123" s="112" t="s">
        <v>114</v>
      </c>
    </row>
    <row r="124" spans="1:9" ht="19.5" customHeight="1" x14ac:dyDescent="0.3">
      <c r="A124" s="60"/>
      <c r="B124" s="60"/>
      <c r="C124" s="60"/>
      <c r="D124" s="60"/>
      <c r="E124" s="60"/>
    </row>
    <row r="125" spans="1:9" ht="26.25" customHeight="1" x14ac:dyDescent="0.4">
      <c r="A125" s="143" t="s">
        <v>98</v>
      </c>
      <c r="B125" s="96">
        <v>1000</v>
      </c>
      <c r="C125" s="121" t="s">
        <v>113</v>
      </c>
      <c r="D125" s="80" t="s">
        <v>58</v>
      </c>
      <c r="E125" s="81" t="s">
        <v>100</v>
      </c>
      <c r="F125" s="82" t="s">
        <v>101</v>
      </c>
    </row>
    <row r="126" spans="1:9" ht="26.25" customHeight="1" x14ac:dyDescent="0.4">
      <c r="A126" s="144" t="s">
        <v>128</v>
      </c>
      <c r="B126" s="97">
        <v>4</v>
      </c>
      <c r="C126" s="186">
        <v>1</v>
      </c>
      <c r="D126" s="110">
        <v>990089</v>
      </c>
      <c r="E126" s="201">
        <f t="shared" ref="E126:E131" si="3">IF(ISBLANK(D126),"-",D126/$D$104*$D$101*$B$134)</f>
        <v>74.677897640871478</v>
      </c>
      <c r="F126" s="202">
        <f t="shared" ref="F126:F131" si="4">IF(ISBLANK(D126), "-", E126/$B$56)</f>
        <v>0.9334737205108935</v>
      </c>
    </row>
    <row r="127" spans="1:9" ht="26.25" customHeight="1" x14ac:dyDescent="0.4">
      <c r="A127" s="144" t="s">
        <v>129</v>
      </c>
      <c r="B127" s="97">
        <v>20</v>
      </c>
      <c r="C127" s="186">
        <v>2</v>
      </c>
      <c r="D127" s="110">
        <v>945169</v>
      </c>
      <c r="E127" s="203">
        <f t="shared" si="3"/>
        <v>71.289786913423811</v>
      </c>
      <c r="F127" s="204">
        <f t="shared" si="4"/>
        <v>0.89112233641779759</v>
      </c>
    </row>
    <row r="128" spans="1:9" ht="26.25" customHeight="1" x14ac:dyDescent="0.4">
      <c r="A128" s="144" t="s">
        <v>130</v>
      </c>
      <c r="B128" s="97">
        <v>1</v>
      </c>
      <c r="C128" s="186">
        <v>3</v>
      </c>
      <c r="D128" s="110">
        <v>1024929</v>
      </c>
      <c r="E128" s="203">
        <f t="shared" si="3"/>
        <v>77.305719941500982</v>
      </c>
      <c r="F128" s="204">
        <f t="shared" si="4"/>
        <v>0.96632149926876232</v>
      </c>
    </row>
    <row r="129" spans="1:9" ht="26.25" customHeight="1" x14ac:dyDescent="0.4">
      <c r="A129" s="144" t="s">
        <v>131</v>
      </c>
      <c r="B129" s="97">
        <v>1</v>
      </c>
      <c r="C129" s="186">
        <v>4</v>
      </c>
      <c r="D129" s="110">
        <v>1035859</v>
      </c>
      <c r="E129" s="203">
        <f t="shared" si="3"/>
        <v>78.130119991612361</v>
      </c>
      <c r="F129" s="204">
        <f t="shared" si="4"/>
        <v>0.97662649989515449</v>
      </c>
    </row>
    <row r="130" spans="1:9" ht="26.25" customHeight="1" x14ac:dyDescent="0.4">
      <c r="A130" s="144" t="s">
        <v>132</v>
      </c>
      <c r="B130" s="97">
        <v>1</v>
      </c>
      <c r="C130" s="186">
        <v>5</v>
      </c>
      <c r="D130" s="110">
        <v>757308</v>
      </c>
      <c r="E130" s="203">
        <f t="shared" si="3"/>
        <v>57.120288485795825</v>
      </c>
      <c r="F130" s="204">
        <f t="shared" si="4"/>
        <v>0.71400360607244784</v>
      </c>
    </row>
    <row r="131" spans="1:9" ht="26.25" customHeight="1" x14ac:dyDescent="0.4">
      <c r="A131" s="144" t="s">
        <v>133</v>
      </c>
      <c r="B131" s="97">
        <v>1</v>
      </c>
      <c r="C131" s="191">
        <v>6</v>
      </c>
      <c r="D131" s="111">
        <v>855664</v>
      </c>
      <c r="E131" s="205">
        <f t="shared" si="3"/>
        <v>64.538832980649886</v>
      </c>
      <c r="F131" s="206">
        <f t="shared" si="4"/>
        <v>0.80673541225812362</v>
      </c>
    </row>
    <row r="132" spans="1:9" ht="26.25" customHeight="1" x14ac:dyDescent="0.4">
      <c r="A132" s="144" t="s">
        <v>134</v>
      </c>
      <c r="B132" s="97">
        <v>1</v>
      </c>
      <c r="C132" s="186"/>
      <c r="D132" s="123"/>
      <c r="E132" s="61"/>
      <c r="F132" s="194"/>
    </row>
    <row r="133" spans="1:9" ht="26.25" customHeight="1" x14ac:dyDescent="0.4">
      <c r="A133" s="144" t="s">
        <v>135</v>
      </c>
      <c r="B133" s="97">
        <v>1</v>
      </c>
      <c r="C133" s="186"/>
      <c r="D133" s="83"/>
      <c r="E133" s="195" t="s">
        <v>61</v>
      </c>
      <c r="F133" s="113">
        <f>AVERAGE(F126:F131)</f>
        <v>0.88138051240386328</v>
      </c>
    </row>
    <row r="134" spans="1:9" ht="27" customHeight="1" x14ac:dyDescent="0.4">
      <c r="A134" s="144" t="s">
        <v>83</v>
      </c>
      <c r="B134" s="207">
        <f>(B133/B132)*(B131/B130)*(B129/B128)*(B127/B126)*B125</f>
        <v>5000</v>
      </c>
      <c r="C134" s="196"/>
      <c r="D134" s="197"/>
      <c r="E134" s="88" t="s">
        <v>72</v>
      </c>
      <c r="F134" s="114">
        <f>STDEV(F126:F131)/F133</f>
        <v>0.11646190647848416</v>
      </c>
    </row>
    <row r="135" spans="1:9" ht="27" customHeight="1" x14ac:dyDescent="0.4">
      <c r="A135" s="313" t="s">
        <v>66</v>
      </c>
      <c r="B135" s="314"/>
      <c r="C135" s="198"/>
      <c r="D135" s="199"/>
      <c r="E135" s="200" t="s">
        <v>19</v>
      </c>
      <c r="F135" s="115">
        <f>COUNT(F126:F131)</f>
        <v>6</v>
      </c>
      <c r="I135" s="185"/>
    </row>
    <row r="136" spans="1:9" ht="19.5" customHeight="1" x14ac:dyDescent="0.3">
      <c r="A136" s="315"/>
      <c r="B136" s="316"/>
      <c r="C136" s="61"/>
      <c r="D136" s="61"/>
      <c r="E136" s="61"/>
      <c r="F136" s="123"/>
      <c r="G136" s="61"/>
      <c r="H136" s="61"/>
    </row>
    <row r="137" spans="1:9" ht="18.75" x14ac:dyDescent="0.3">
      <c r="A137" s="66"/>
      <c r="B137" s="66"/>
      <c r="C137" s="61"/>
      <c r="D137" s="61"/>
      <c r="E137" s="61"/>
      <c r="F137" s="123"/>
      <c r="G137" s="61"/>
      <c r="H137" s="61"/>
    </row>
    <row r="138" spans="1:9" ht="26.25" customHeight="1" x14ac:dyDescent="0.4">
      <c r="A138" s="88" t="s">
        <v>109</v>
      </c>
      <c r="B138" s="88" t="s">
        <v>102</v>
      </c>
      <c r="C138" s="295" t="str">
        <f>B20</f>
        <v>Artemether 80mg, Lumefantrine 480mg</v>
      </c>
      <c r="D138" s="295"/>
      <c r="E138" s="61" t="s">
        <v>103</v>
      </c>
      <c r="F138" s="61"/>
      <c r="G138" s="116">
        <f>F133</f>
        <v>0.88138051240386328</v>
      </c>
      <c r="H138" s="61"/>
    </row>
    <row r="139" spans="1:9" ht="19.5" customHeight="1" x14ac:dyDescent="0.3">
      <c r="A139" s="122"/>
      <c r="B139" s="122"/>
      <c r="C139" s="208"/>
      <c r="D139" s="208"/>
      <c r="E139" s="208"/>
      <c r="F139" s="208"/>
      <c r="G139" s="208"/>
      <c r="H139" s="208"/>
    </row>
    <row r="140" spans="1:9" ht="18.75" x14ac:dyDescent="0.3">
      <c r="B140" s="296" t="s">
        <v>22</v>
      </c>
      <c r="C140" s="296"/>
      <c r="E140" s="124" t="s">
        <v>23</v>
      </c>
      <c r="F140" s="124"/>
      <c r="G140" s="296" t="s">
        <v>24</v>
      </c>
      <c r="H140" s="296"/>
    </row>
    <row r="141" spans="1:9" ht="42.75" customHeight="1" x14ac:dyDescent="0.3">
      <c r="A141" s="88" t="s">
        <v>25</v>
      </c>
      <c r="B141" s="209"/>
      <c r="C141" s="209"/>
      <c r="E141" s="210"/>
      <c r="F141" s="61"/>
      <c r="G141" s="210"/>
      <c r="H141" s="210"/>
    </row>
    <row r="142" spans="1:9" ht="42.75" customHeight="1" x14ac:dyDescent="0.3">
      <c r="A142" s="88" t="s">
        <v>26</v>
      </c>
      <c r="B142" s="92"/>
      <c r="C142" s="92"/>
      <c r="E142" s="87"/>
      <c r="F142" s="61"/>
      <c r="G142" s="87"/>
      <c r="H142" s="87"/>
    </row>
    <row r="143" spans="1:9" ht="18.75" x14ac:dyDescent="0.3">
      <c r="A143" s="123"/>
      <c r="B143" s="123"/>
      <c r="C143" s="123"/>
      <c r="D143" s="123"/>
      <c r="E143" s="123"/>
      <c r="F143" s="64"/>
      <c r="G143" s="123"/>
      <c r="H143" s="123"/>
    </row>
    <row r="144" spans="1:9" ht="18.75" x14ac:dyDescent="0.3">
      <c r="A144" s="123"/>
      <c r="B144" s="123"/>
      <c r="C144" s="123"/>
      <c r="D144" s="123"/>
      <c r="E144" s="123"/>
      <c r="F144" s="64"/>
      <c r="G144" s="123"/>
      <c r="H144" s="123"/>
    </row>
    <row r="145" spans="1:8" ht="18.75" x14ac:dyDescent="0.3">
      <c r="A145" s="123"/>
      <c r="B145" s="123"/>
      <c r="C145" s="123"/>
      <c r="D145" s="123"/>
      <c r="E145" s="123"/>
      <c r="F145" s="64"/>
      <c r="G145" s="123"/>
      <c r="H145" s="123"/>
    </row>
    <row r="146" spans="1:8" ht="18.75" x14ac:dyDescent="0.3">
      <c r="A146" s="123"/>
      <c r="B146" s="123"/>
      <c r="C146" s="123"/>
      <c r="D146" s="123"/>
      <c r="E146" s="123"/>
      <c r="F146" s="64"/>
      <c r="G146" s="123"/>
      <c r="H146" s="123"/>
    </row>
    <row r="147" spans="1:8" ht="18.75" x14ac:dyDescent="0.3">
      <c r="A147" s="123"/>
      <c r="B147" s="123"/>
      <c r="C147" s="123"/>
      <c r="D147" s="123"/>
      <c r="E147" s="123"/>
      <c r="F147" s="64"/>
      <c r="G147" s="123"/>
      <c r="H147" s="123"/>
    </row>
    <row r="148" spans="1:8" ht="18.75" x14ac:dyDescent="0.3">
      <c r="A148" s="123"/>
      <c r="B148" s="123"/>
      <c r="C148" s="123"/>
      <c r="D148" s="123"/>
      <c r="E148" s="123"/>
      <c r="F148" s="64"/>
      <c r="G148" s="123"/>
      <c r="H148" s="123"/>
    </row>
    <row r="149" spans="1:8" ht="18.75" x14ac:dyDescent="0.3">
      <c r="A149" s="123"/>
      <c r="B149" s="123"/>
      <c r="C149" s="123"/>
      <c r="D149" s="123"/>
      <c r="E149" s="123"/>
      <c r="F149" s="64"/>
      <c r="G149" s="123"/>
      <c r="H149" s="123"/>
    </row>
    <row r="150" spans="1:8" ht="18.75" x14ac:dyDescent="0.3">
      <c r="A150" s="123"/>
      <c r="B150" s="123"/>
      <c r="C150" s="123"/>
      <c r="D150" s="123"/>
      <c r="E150" s="123"/>
      <c r="F150" s="64"/>
      <c r="G150" s="123"/>
      <c r="H150" s="123"/>
    </row>
    <row r="151" spans="1:8" ht="18.75" x14ac:dyDescent="0.3">
      <c r="A151" s="123"/>
      <c r="B151" s="123"/>
      <c r="C151" s="123"/>
      <c r="D151" s="123"/>
      <c r="E151" s="123"/>
      <c r="F151" s="64"/>
      <c r="G151" s="123"/>
      <c r="H151" s="123"/>
    </row>
    <row r="250" spans="1:1" x14ac:dyDescent="0.3">
      <c r="A250" s="1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3">
    <mergeCell ref="A1:H7"/>
    <mergeCell ref="A8:H14"/>
    <mergeCell ref="A16:H16"/>
    <mergeCell ref="C85:H85"/>
    <mergeCell ref="C86:H86"/>
    <mergeCell ref="B80:C80"/>
    <mergeCell ref="B26:C26"/>
    <mergeCell ref="B18:C18"/>
    <mergeCell ref="B20:C20"/>
    <mergeCell ref="B21:H21"/>
    <mergeCell ref="F90:G90"/>
    <mergeCell ref="A100:B101"/>
    <mergeCell ref="A118:B119"/>
    <mergeCell ref="A46:B47"/>
    <mergeCell ref="C83:G83"/>
    <mergeCell ref="A70:B71"/>
    <mergeCell ref="C76:D76"/>
    <mergeCell ref="C138:D138"/>
    <mergeCell ref="B140:C140"/>
    <mergeCell ref="G140:H14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135:B136"/>
    <mergeCell ref="C121:D121"/>
  </mergeCells>
  <printOptions horizontalCentered="1" verticalCentered="1"/>
  <pageMargins left="0.7" right="0.7" top="0.75" bottom="0.75" header="0.3" footer="0.3"/>
  <pageSetup paperSize="9" scale="21" fitToHeight="2" orientation="portrait" r:id="rId1"/>
  <headerFooter alignWithMargins="0">
    <oddFooter>&amp;LNQCL/ADDO/014&amp;C&amp;P of &amp;N&amp;R&amp;D &amp;T</oddFooter>
  </headerFooter>
  <rowBreaks count="1" manualBreakCount="1">
    <brk id="142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60" zoomScaleNormal="40" zoomScalePageLayoutView="55" workbookViewId="0">
      <selection activeCell="B20" sqref="B20:C20"/>
    </sheetView>
  </sheetViews>
  <sheetFormatPr defaultColWidth="9.140625" defaultRowHeight="15" x14ac:dyDescent="0.3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  <col min="13" max="16384" width="9.140625" style="129"/>
  </cols>
  <sheetData>
    <row r="1" spans="1:9" ht="18.75" customHeight="1" x14ac:dyDescent="0.3">
      <c r="A1" s="323" t="s">
        <v>41</v>
      </c>
      <c r="B1" s="323"/>
      <c r="C1" s="323"/>
      <c r="D1" s="323"/>
      <c r="E1" s="323"/>
      <c r="F1" s="323"/>
      <c r="G1" s="323"/>
      <c r="H1" s="323"/>
      <c r="I1" s="323"/>
    </row>
    <row r="2" spans="1:9" ht="18.75" customHeight="1" x14ac:dyDescent="0.3">
      <c r="A2" s="323"/>
      <c r="B2" s="323"/>
      <c r="C2" s="323"/>
      <c r="D2" s="323"/>
      <c r="E2" s="323"/>
      <c r="F2" s="323"/>
      <c r="G2" s="323"/>
      <c r="H2" s="323"/>
      <c r="I2" s="323"/>
    </row>
    <row r="3" spans="1:9" ht="18.75" customHeight="1" x14ac:dyDescent="0.3">
      <c r="A3" s="323"/>
      <c r="B3" s="323"/>
      <c r="C3" s="323"/>
      <c r="D3" s="323"/>
      <c r="E3" s="323"/>
      <c r="F3" s="323"/>
      <c r="G3" s="323"/>
      <c r="H3" s="323"/>
      <c r="I3" s="323"/>
    </row>
    <row r="4" spans="1:9" ht="18.75" customHeight="1" x14ac:dyDescent="0.3">
      <c r="A4" s="323"/>
      <c r="B4" s="323"/>
      <c r="C4" s="323"/>
      <c r="D4" s="323"/>
      <c r="E4" s="323"/>
      <c r="F4" s="323"/>
      <c r="G4" s="323"/>
      <c r="H4" s="323"/>
      <c r="I4" s="323"/>
    </row>
    <row r="5" spans="1:9" ht="18.75" customHeight="1" x14ac:dyDescent="0.3">
      <c r="A5" s="323"/>
      <c r="B5" s="323"/>
      <c r="C5" s="323"/>
      <c r="D5" s="323"/>
      <c r="E5" s="323"/>
      <c r="F5" s="323"/>
      <c r="G5" s="323"/>
      <c r="H5" s="323"/>
      <c r="I5" s="323"/>
    </row>
    <row r="6" spans="1:9" ht="18.75" customHeight="1" x14ac:dyDescent="0.3">
      <c r="A6" s="323"/>
      <c r="B6" s="323"/>
      <c r="C6" s="323"/>
      <c r="D6" s="323"/>
      <c r="E6" s="323"/>
      <c r="F6" s="323"/>
      <c r="G6" s="323"/>
      <c r="H6" s="323"/>
      <c r="I6" s="323"/>
    </row>
    <row r="7" spans="1:9" ht="18.75" customHeight="1" x14ac:dyDescent="0.3">
      <c r="A7" s="323"/>
      <c r="B7" s="323"/>
      <c r="C7" s="323"/>
      <c r="D7" s="323"/>
      <c r="E7" s="323"/>
      <c r="F7" s="323"/>
      <c r="G7" s="323"/>
      <c r="H7" s="323"/>
      <c r="I7" s="323"/>
    </row>
    <row r="8" spans="1:9" x14ac:dyDescent="0.3">
      <c r="A8" s="324" t="s">
        <v>42</v>
      </c>
      <c r="B8" s="324"/>
      <c r="C8" s="324"/>
      <c r="D8" s="324"/>
      <c r="E8" s="324"/>
      <c r="F8" s="324"/>
      <c r="G8" s="324"/>
      <c r="H8" s="324"/>
      <c r="I8" s="324"/>
    </row>
    <row r="9" spans="1:9" x14ac:dyDescent="0.3">
      <c r="A9" s="324"/>
      <c r="B9" s="324"/>
      <c r="C9" s="324"/>
      <c r="D9" s="324"/>
      <c r="E9" s="324"/>
      <c r="F9" s="324"/>
      <c r="G9" s="324"/>
      <c r="H9" s="324"/>
      <c r="I9" s="324"/>
    </row>
    <row r="10" spans="1:9" x14ac:dyDescent="0.3">
      <c r="A10" s="324"/>
      <c r="B10" s="324"/>
      <c r="C10" s="324"/>
      <c r="D10" s="324"/>
      <c r="E10" s="324"/>
      <c r="F10" s="324"/>
      <c r="G10" s="324"/>
      <c r="H10" s="324"/>
      <c r="I10" s="324"/>
    </row>
    <row r="11" spans="1:9" x14ac:dyDescent="0.3">
      <c r="A11" s="324"/>
      <c r="B11" s="324"/>
      <c r="C11" s="324"/>
      <c r="D11" s="324"/>
      <c r="E11" s="324"/>
      <c r="F11" s="324"/>
      <c r="G11" s="324"/>
      <c r="H11" s="324"/>
      <c r="I11" s="324"/>
    </row>
    <row r="12" spans="1:9" x14ac:dyDescent="0.3">
      <c r="A12" s="324"/>
      <c r="B12" s="324"/>
      <c r="C12" s="324"/>
      <c r="D12" s="324"/>
      <c r="E12" s="324"/>
      <c r="F12" s="324"/>
      <c r="G12" s="324"/>
      <c r="H12" s="324"/>
      <c r="I12" s="324"/>
    </row>
    <row r="13" spans="1:9" x14ac:dyDescent="0.3">
      <c r="A13" s="324"/>
      <c r="B13" s="324"/>
      <c r="C13" s="324"/>
      <c r="D13" s="324"/>
      <c r="E13" s="324"/>
      <c r="F13" s="324"/>
      <c r="G13" s="324"/>
      <c r="H13" s="324"/>
      <c r="I13" s="324"/>
    </row>
    <row r="14" spans="1:9" x14ac:dyDescent="0.3">
      <c r="A14" s="324"/>
      <c r="B14" s="324"/>
      <c r="C14" s="324"/>
      <c r="D14" s="324"/>
      <c r="E14" s="324"/>
      <c r="F14" s="324"/>
      <c r="G14" s="324"/>
      <c r="H14" s="324"/>
      <c r="I14" s="324"/>
    </row>
    <row r="15" spans="1:9" ht="19.5" customHeight="1" x14ac:dyDescent="0.3">
      <c r="A15" s="61"/>
    </row>
    <row r="16" spans="1:9" ht="19.5" customHeight="1" x14ac:dyDescent="0.3">
      <c r="A16" s="331" t="s">
        <v>27</v>
      </c>
      <c r="B16" s="332"/>
      <c r="C16" s="332"/>
      <c r="D16" s="332"/>
      <c r="E16" s="332"/>
      <c r="F16" s="332"/>
      <c r="G16" s="332"/>
      <c r="H16" s="333"/>
    </row>
    <row r="17" spans="1:14" ht="20.25" customHeight="1" x14ac:dyDescent="0.3">
      <c r="A17" s="334" t="s">
        <v>43</v>
      </c>
      <c r="B17" s="334"/>
      <c r="C17" s="334"/>
      <c r="D17" s="334"/>
      <c r="E17" s="334"/>
      <c r="F17" s="334"/>
      <c r="G17" s="334"/>
      <c r="H17" s="334"/>
    </row>
    <row r="18" spans="1:14" ht="26.25" customHeight="1" x14ac:dyDescent="0.4">
      <c r="A18" s="61" t="s">
        <v>29</v>
      </c>
      <c r="B18" s="329" t="s">
        <v>5</v>
      </c>
      <c r="C18" s="329"/>
      <c r="D18" s="57"/>
      <c r="E18" s="47"/>
      <c r="F18" s="136"/>
      <c r="G18" s="136"/>
      <c r="H18" s="136"/>
    </row>
    <row r="19" spans="1:14" ht="26.25" customHeight="1" x14ac:dyDescent="0.4">
      <c r="A19" s="61" t="s">
        <v>30</v>
      </c>
      <c r="B19" s="120" t="s">
        <v>7</v>
      </c>
      <c r="C19" s="136">
        <v>1</v>
      </c>
      <c r="D19" s="136"/>
      <c r="E19" s="136"/>
      <c r="F19" s="136"/>
      <c r="G19" s="136"/>
      <c r="H19" s="136"/>
    </row>
    <row r="20" spans="1:14" ht="26.25" customHeight="1" x14ac:dyDescent="0.4">
      <c r="A20" s="61" t="s">
        <v>31</v>
      </c>
      <c r="B20" s="329" t="s">
        <v>9</v>
      </c>
      <c r="C20" s="329"/>
      <c r="D20" s="136"/>
      <c r="E20" s="136"/>
      <c r="F20" s="136"/>
      <c r="G20" s="136"/>
      <c r="H20" s="136"/>
    </row>
    <row r="21" spans="1:14" ht="26.25" customHeight="1" x14ac:dyDescent="0.4">
      <c r="A21" s="61" t="s">
        <v>32</v>
      </c>
      <c r="B21" s="329" t="s">
        <v>11</v>
      </c>
      <c r="C21" s="329"/>
      <c r="D21" s="329"/>
      <c r="E21" s="329"/>
      <c r="F21" s="329"/>
      <c r="G21" s="329"/>
      <c r="H21" s="329"/>
      <c r="I21" s="211"/>
    </row>
    <row r="22" spans="1:14" ht="26.25" customHeight="1" x14ac:dyDescent="0.4">
      <c r="A22" s="61" t="s">
        <v>33</v>
      </c>
      <c r="B22" s="137" t="str">
        <f>ARTEMETHER!B22</f>
        <v>29th Oct 2015</v>
      </c>
      <c r="C22" s="136"/>
      <c r="D22" s="136"/>
      <c r="E22" s="136"/>
      <c r="F22" s="136"/>
      <c r="G22" s="136"/>
      <c r="H22" s="136"/>
    </row>
    <row r="23" spans="1:14" ht="26.25" customHeight="1" x14ac:dyDescent="0.4">
      <c r="A23" s="61" t="s">
        <v>34</v>
      </c>
      <c r="B23" s="137" t="str">
        <f>ARTEMETHER!B23</f>
        <v>4th Dec 2015</v>
      </c>
      <c r="C23" s="136"/>
      <c r="D23" s="136"/>
      <c r="E23" s="136"/>
      <c r="F23" s="136"/>
      <c r="G23" s="136"/>
      <c r="H23" s="136"/>
    </row>
    <row r="24" spans="1:14" ht="18.75" x14ac:dyDescent="0.3">
      <c r="A24" s="61"/>
      <c r="B24" s="139"/>
    </row>
    <row r="25" spans="1:14" ht="18.75" x14ac:dyDescent="0.3">
      <c r="A25" s="62" t="s">
        <v>1</v>
      </c>
      <c r="B25" s="139"/>
    </row>
    <row r="26" spans="1:14" ht="26.25" customHeight="1" x14ac:dyDescent="0.4">
      <c r="A26" s="88" t="s">
        <v>4</v>
      </c>
      <c r="B26" s="329" t="s">
        <v>116</v>
      </c>
      <c r="C26" s="329"/>
    </row>
    <row r="27" spans="1:14" ht="26.25" customHeight="1" x14ac:dyDescent="0.4">
      <c r="A27" s="88" t="s">
        <v>44</v>
      </c>
      <c r="B27" s="328" t="s">
        <v>117</v>
      </c>
      <c r="C27" s="328"/>
    </row>
    <row r="28" spans="1:14" ht="27" customHeight="1" x14ac:dyDescent="0.4">
      <c r="A28" s="88" t="s">
        <v>6</v>
      </c>
      <c r="B28" s="94">
        <v>100.2</v>
      </c>
    </row>
    <row r="29" spans="1:14" s="2" customFormat="1" ht="27" customHeight="1" x14ac:dyDescent="0.4">
      <c r="A29" s="88" t="s">
        <v>45</v>
      </c>
      <c r="B29" s="94">
        <v>0</v>
      </c>
      <c r="C29" s="297" t="s">
        <v>46</v>
      </c>
      <c r="D29" s="298"/>
      <c r="E29" s="298"/>
      <c r="F29" s="298"/>
      <c r="G29" s="299"/>
      <c r="I29" s="63"/>
      <c r="J29" s="63"/>
      <c r="K29" s="63"/>
      <c r="L29" s="63"/>
    </row>
    <row r="30" spans="1:14" s="2" customFormat="1" ht="19.5" customHeight="1" x14ac:dyDescent="0.3">
      <c r="A30" s="88" t="s">
        <v>47</v>
      </c>
      <c r="B30" s="123">
        <f>B28-B29</f>
        <v>100.2</v>
      </c>
      <c r="C30" s="140"/>
      <c r="D30" s="140"/>
      <c r="E30" s="140"/>
      <c r="F30" s="140"/>
      <c r="G30" s="141"/>
      <c r="I30" s="63"/>
      <c r="J30" s="63"/>
      <c r="K30" s="63"/>
      <c r="L30" s="63"/>
    </row>
    <row r="31" spans="1:14" s="2" customFormat="1" ht="27" customHeight="1" x14ac:dyDescent="0.4">
      <c r="A31" s="88" t="s">
        <v>48</v>
      </c>
      <c r="B31" s="95">
        <v>1</v>
      </c>
      <c r="C31" s="302" t="s">
        <v>49</v>
      </c>
      <c r="D31" s="303"/>
      <c r="E31" s="303"/>
      <c r="F31" s="303"/>
      <c r="G31" s="303"/>
      <c r="H31" s="304"/>
      <c r="I31" s="63"/>
      <c r="J31" s="63"/>
      <c r="K31" s="63"/>
      <c r="L31" s="63"/>
    </row>
    <row r="32" spans="1:14" s="2" customFormat="1" ht="27" customHeight="1" x14ac:dyDescent="0.4">
      <c r="A32" s="88" t="s">
        <v>50</v>
      </c>
      <c r="B32" s="95">
        <v>1</v>
      </c>
      <c r="C32" s="302" t="s">
        <v>51</v>
      </c>
      <c r="D32" s="303"/>
      <c r="E32" s="303"/>
      <c r="F32" s="303"/>
      <c r="G32" s="303"/>
      <c r="H32" s="304"/>
      <c r="I32" s="63"/>
      <c r="J32" s="63"/>
      <c r="K32" s="63"/>
      <c r="L32" s="65"/>
      <c r="M32" s="65"/>
      <c r="N32" s="142"/>
    </row>
    <row r="33" spans="1:14" s="2" customFormat="1" ht="17.25" customHeight="1" x14ac:dyDescent="0.3">
      <c r="A33" s="88"/>
      <c r="B33" s="64"/>
      <c r="C33" s="66"/>
      <c r="D33" s="66"/>
      <c r="E33" s="66"/>
      <c r="F33" s="66"/>
      <c r="G33" s="66"/>
      <c r="H33" s="66"/>
      <c r="I33" s="63"/>
      <c r="J33" s="63"/>
      <c r="K33" s="63"/>
      <c r="L33" s="65"/>
      <c r="M33" s="65"/>
      <c r="N33" s="142"/>
    </row>
    <row r="34" spans="1:14" s="2" customFormat="1" ht="18.75" x14ac:dyDescent="0.3">
      <c r="A34" s="88" t="s">
        <v>52</v>
      </c>
      <c r="B34" s="67">
        <f>B31/B32</f>
        <v>1</v>
      </c>
      <c r="C34" s="61" t="s">
        <v>53</v>
      </c>
      <c r="D34" s="61"/>
      <c r="E34" s="61"/>
      <c r="F34" s="61"/>
      <c r="G34" s="61"/>
      <c r="I34" s="63"/>
      <c r="J34" s="63"/>
      <c r="K34" s="63"/>
      <c r="L34" s="65"/>
      <c r="M34" s="65"/>
      <c r="N34" s="142"/>
    </row>
    <row r="35" spans="1:14" s="2" customFormat="1" ht="19.5" customHeight="1" x14ac:dyDescent="0.3">
      <c r="A35" s="88"/>
      <c r="B35" s="123"/>
      <c r="G35" s="61"/>
      <c r="I35" s="63"/>
      <c r="J35" s="63"/>
      <c r="K35" s="63"/>
      <c r="L35" s="65"/>
      <c r="M35" s="65"/>
      <c r="N35" s="142"/>
    </row>
    <row r="36" spans="1:14" s="2" customFormat="1" ht="27" customHeight="1" x14ac:dyDescent="0.4">
      <c r="A36" s="143" t="s">
        <v>54</v>
      </c>
      <c r="B36" s="96">
        <v>50</v>
      </c>
      <c r="C36" s="61"/>
      <c r="D36" s="300" t="s">
        <v>55</v>
      </c>
      <c r="E36" s="312"/>
      <c r="F36" s="300" t="s">
        <v>56</v>
      </c>
      <c r="G36" s="301"/>
      <c r="J36" s="63"/>
      <c r="K36" s="63"/>
      <c r="L36" s="65"/>
      <c r="M36" s="65"/>
      <c r="N36" s="142"/>
    </row>
    <row r="37" spans="1:14" s="2" customFormat="1" ht="27" customHeight="1" x14ac:dyDescent="0.4">
      <c r="A37" s="144" t="s">
        <v>120</v>
      </c>
      <c r="B37" s="97">
        <v>4</v>
      </c>
      <c r="C37" s="68" t="s">
        <v>57</v>
      </c>
      <c r="D37" s="69" t="s">
        <v>58</v>
      </c>
      <c r="E37" s="85" t="s">
        <v>59</v>
      </c>
      <c r="F37" s="69" t="s">
        <v>58</v>
      </c>
      <c r="G37" s="48" t="s">
        <v>59</v>
      </c>
      <c r="I37" s="49" t="s">
        <v>60</v>
      </c>
      <c r="J37" s="63"/>
      <c r="K37" s="63"/>
      <c r="L37" s="65"/>
      <c r="M37" s="65"/>
      <c r="N37" s="142"/>
    </row>
    <row r="38" spans="1:14" s="2" customFormat="1" ht="26.25" customHeight="1" x14ac:dyDescent="0.4">
      <c r="A38" s="144" t="s">
        <v>121</v>
      </c>
      <c r="B38" s="97">
        <v>20</v>
      </c>
      <c r="C38" s="145">
        <v>1</v>
      </c>
      <c r="D38" s="126">
        <v>7634985</v>
      </c>
      <c r="E38" s="146">
        <f>IF(ISBLANK(D38),"-",$D$48/$D$45*D38)</f>
        <v>7871637.9225021033</v>
      </c>
      <c r="F38" s="98">
        <v>9673668</v>
      </c>
      <c r="G38" s="147">
        <f>IF(ISBLANK(F38),"-",$D$48/$F$45*F38)</f>
        <v>8072206.7570544509</v>
      </c>
      <c r="I38" s="212"/>
      <c r="J38" s="63"/>
      <c r="K38" s="63"/>
      <c r="L38" s="65"/>
      <c r="M38" s="65"/>
      <c r="N38" s="142"/>
    </row>
    <row r="39" spans="1:14" s="2" customFormat="1" ht="26.25" customHeight="1" x14ac:dyDescent="0.4">
      <c r="A39" s="144" t="s">
        <v>122</v>
      </c>
      <c r="B39" s="97">
        <v>1</v>
      </c>
      <c r="C39" s="89">
        <v>2</v>
      </c>
      <c r="D39" s="126">
        <v>7667532</v>
      </c>
      <c r="E39" s="148">
        <f>IF(ISBLANK(D39),"-",$D$48/$D$45*D39)</f>
        <v>7905193.7447419204</v>
      </c>
      <c r="F39" s="98">
        <v>9652197</v>
      </c>
      <c r="G39" s="149">
        <f>IF(ISBLANK(F39),"-",$D$48/$F$45*F39)</f>
        <v>8054290.2489335686</v>
      </c>
      <c r="I39" s="330">
        <f>ABS((F43/D43*D42)-F42)/D42</f>
        <v>2.5616791114759757E-2</v>
      </c>
      <c r="J39" s="63"/>
      <c r="K39" s="63"/>
      <c r="L39" s="65"/>
      <c r="M39" s="65"/>
      <c r="N39" s="142"/>
    </row>
    <row r="40" spans="1:14" ht="26.25" customHeight="1" x14ac:dyDescent="0.4">
      <c r="A40" s="144" t="s">
        <v>123</v>
      </c>
      <c r="B40" s="97">
        <v>1</v>
      </c>
      <c r="C40" s="89">
        <v>3</v>
      </c>
      <c r="D40" s="126">
        <v>7678672</v>
      </c>
      <c r="E40" s="148">
        <f>IF(ISBLANK(D40),"-",$D$48/$D$45*D40)</f>
        <v>7916679.0386169804</v>
      </c>
      <c r="F40" s="98">
        <v>9656953</v>
      </c>
      <c r="G40" s="149">
        <f>IF(ISBLANK(F40),"-",$D$48/$F$45*F40)</f>
        <v>8058258.9002596792</v>
      </c>
      <c r="I40" s="330"/>
      <c r="L40" s="65"/>
      <c r="M40" s="65"/>
      <c r="N40" s="61"/>
    </row>
    <row r="41" spans="1:14" ht="27" customHeight="1" x14ac:dyDescent="0.4">
      <c r="A41" s="144" t="s">
        <v>124</v>
      </c>
      <c r="B41" s="97">
        <v>1</v>
      </c>
      <c r="C41" s="150">
        <v>4</v>
      </c>
      <c r="D41" s="126"/>
      <c r="E41" s="151" t="str">
        <f>IF(ISBLANK(D41),"-",$D$48/$D$45*D41)</f>
        <v>-</v>
      </c>
      <c r="F41" s="98"/>
      <c r="G41" s="152" t="str">
        <f>IF(ISBLANK(F41),"-",$D$48/$F$45*F41)</f>
        <v>-</v>
      </c>
      <c r="I41" s="213"/>
      <c r="L41" s="65"/>
      <c r="M41" s="65"/>
      <c r="N41" s="61"/>
    </row>
    <row r="42" spans="1:14" ht="27" customHeight="1" x14ac:dyDescent="0.4">
      <c r="A42" s="144" t="s">
        <v>125</v>
      </c>
      <c r="B42" s="97">
        <v>1</v>
      </c>
      <c r="C42" s="153" t="s">
        <v>61</v>
      </c>
      <c r="D42" s="71">
        <f>AVERAGE(D38:D41)</f>
        <v>7660396.333333333</v>
      </c>
      <c r="E42" s="76">
        <f>AVERAGE(E38:E41)</f>
        <v>7897836.9019536683</v>
      </c>
      <c r="F42" s="71">
        <f>AVERAGE(F38:F41)</f>
        <v>9660939.333333334</v>
      </c>
      <c r="G42" s="72">
        <f>AVERAGE(G38:G41)</f>
        <v>8061585.3020825656</v>
      </c>
      <c r="H42" s="135"/>
    </row>
    <row r="43" spans="1:14" ht="26.25" customHeight="1" x14ac:dyDescent="0.4">
      <c r="A43" s="144" t="s">
        <v>126</v>
      </c>
      <c r="B43" s="97">
        <v>1</v>
      </c>
      <c r="C43" s="214" t="s">
        <v>62</v>
      </c>
      <c r="D43" s="102">
        <v>14.52</v>
      </c>
      <c r="E43" s="61"/>
      <c r="F43" s="102">
        <v>17.940000000000001</v>
      </c>
      <c r="H43" s="135"/>
    </row>
    <row r="44" spans="1:14" ht="26.25" customHeight="1" x14ac:dyDescent="0.4">
      <c r="A44" s="144" t="s">
        <v>127</v>
      </c>
      <c r="B44" s="97">
        <v>1</v>
      </c>
      <c r="C44" s="215" t="s">
        <v>63</v>
      </c>
      <c r="D44" s="157">
        <f>D43*$B$34</f>
        <v>14.52</v>
      </c>
      <c r="E44" s="123"/>
      <c r="F44" s="157">
        <f>F43*$B$34</f>
        <v>17.940000000000001</v>
      </c>
      <c r="H44" s="135"/>
    </row>
    <row r="45" spans="1:14" ht="19.5" customHeight="1" x14ac:dyDescent="0.3">
      <c r="A45" s="144" t="s">
        <v>64</v>
      </c>
      <c r="B45" s="89">
        <f>(B44/B43)*(B42/B41)*(B40/B39)*(B38/B37)*B36</f>
        <v>250</v>
      </c>
      <c r="C45" s="215" t="s">
        <v>65</v>
      </c>
      <c r="D45" s="159">
        <f>D44*$B$30/100</f>
        <v>14.54904</v>
      </c>
      <c r="E45" s="64"/>
      <c r="F45" s="159">
        <f>F44*$B$30/100</f>
        <v>17.975880000000004</v>
      </c>
      <c r="H45" s="135"/>
    </row>
    <row r="46" spans="1:14" ht="19.5" customHeight="1" x14ac:dyDescent="0.3">
      <c r="A46" s="313" t="s">
        <v>66</v>
      </c>
      <c r="B46" s="314"/>
      <c r="C46" s="215" t="s">
        <v>67</v>
      </c>
      <c r="D46" s="216">
        <f>D45/$B$45</f>
        <v>5.8196159999999997E-2</v>
      </c>
      <c r="E46" s="217"/>
      <c r="F46" s="218">
        <f>F45/$B$45</f>
        <v>7.1903520000000012E-2</v>
      </c>
      <c r="H46" s="135"/>
    </row>
    <row r="47" spans="1:14" ht="27" customHeight="1" x14ac:dyDescent="0.4">
      <c r="A47" s="315"/>
      <c r="B47" s="316"/>
      <c r="C47" s="219" t="s">
        <v>68</v>
      </c>
      <c r="D47" s="50">
        <v>0.06</v>
      </c>
      <c r="E47" s="220"/>
      <c r="F47" s="217"/>
      <c r="H47" s="135"/>
    </row>
    <row r="48" spans="1:14" ht="18.75" x14ac:dyDescent="0.3">
      <c r="C48" s="221" t="s">
        <v>69</v>
      </c>
      <c r="D48" s="159">
        <f>D47*$B$45</f>
        <v>15</v>
      </c>
      <c r="F48" s="161"/>
      <c r="H48" s="135"/>
    </row>
    <row r="49" spans="1:12" ht="19.5" customHeight="1" x14ac:dyDescent="0.3">
      <c r="C49" s="222" t="s">
        <v>70</v>
      </c>
      <c r="D49" s="223">
        <f>D48/B34</f>
        <v>15</v>
      </c>
      <c r="F49" s="161"/>
      <c r="H49" s="135"/>
    </row>
    <row r="50" spans="1:12" ht="18.75" x14ac:dyDescent="0.3">
      <c r="C50" s="143" t="s">
        <v>71</v>
      </c>
      <c r="D50" s="51">
        <f>AVERAGE(E38:E41,G38:G41)</f>
        <v>7979711.1020181179</v>
      </c>
      <c r="F50" s="83"/>
      <c r="H50" s="135"/>
    </row>
    <row r="51" spans="1:12" ht="18.75" x14ac:dyDescent="0.3">
      <c r="C51" s="144" t="s">
        <v>72</v>
      </c>
      <c r="D51" s="78">
        <f>STDEV(E38:E41,G38:G41)/D50</f>
        <v>1.1416025811954087E-2</v>
      </c>
      <c r="F51" s="83"/>
      <c r="H51" s="135"/>
    </row>
    <row r="52" spans="1:12" ht="19.5" customHeight="1" x14ac:dyDescent="0.3">
      <c r="C52" s="178" t="s">
        <v>19</v>
      </c>
      <c r="D52" s="224">
        <f>COUNT(E38:E41,G38:G41)</f>
        <v>6</v>
      </c>
      <c r="F52" s="83"/>
    </row>
    <row r="54" spans="1:12" ht="18.75" x14ac:dyDescent="0.3">
      <c r="A54" s="60" t="s">
        <v>1</v>
      </c>
      <c r="B54" s="73" t="s">
        <v>73</v>
      </c>
    </row>
    <row r="55" spans="1:12" ht="18.75" x14ac:dyDescent="0.3">
      <c r="A55" s="61" t="s">
        <v>74</v>
      </c>
      <c r="B55" s="73" t="str">
        <f>B21</f>
        <v>Each dispersible tablets contains Artemether 80mg,Lumefantine 480mg</v>
      </c>
    </row>
    <row r="56" spans="1:12" ht="26.25" customHeight="1" x14ac:dyDescent="0.4">
      <c r="A56" s="73" t="s">
        <v>75</v>
      </c>
      <c r="B56" s="52">
        <v>480</v>
      </c>
      <c r="C56" s="61" t="str">
        <f>B20</f>
        <v>Artemether 80mg, Lumefantrine 480mg</v>
      </c>
      <c r="H56" s="123"/>
    </row>
    <row r="57" spans="1:12" ht="18.75" x14ac:dyDescent="0.3">
      <c r="A57" s="73" t="s">
        <v>76</v>
      </c>
      <c r="B57" s="117">
        <f>Uniformity!C46</f>
        <v>1070.8015</v>
      </c>
      <c r="H57" s="123"/>
    </row>
    <row r="58" spans="1:12" ht="19.5" customHeight="1" x14ac:dyDescent="0.3">
      <c r="H58" s="123"/>
    </row>
    <row r="59" spans="1:12" s="2" customFormat="1" ht="27" customHeight="1" x14ac:dyDescent="0.4">
      <c r="A59" s="143" t="s">
        <v>77</v>
      </c>
      <c r="B59" s="96">
        <v>100</v>
      </c>
      <c r="C59" s="61"/>
      <c r="D59" s="75" t="s">
        <v>78</v>
      </c>
      <c r="E59" s="74" t="s">
        <v>57</v>
      </c>
      <c r="F59" s="74" t="s">
        <v>58</v>
      </c>
      <c r="G59" s="74" t="s">
        <v>79</v>
      </c>
      <c r="H59" s="68" t="s">
        <v>80</v>
      </c>
      <c r="L59" s="63"/>
    </row>
    <row r="60" spans="1:12" s="2" customFormat="1" ht="26.25" customHeight="1" x14ac:dyDescent="0.4">
      <c r="A60" s="144" t="s">
        <v>136</v>
      </c>
      <c r="B60" s="97">
        <v>2</v>
      </c>
      <c r="C60" s="305" t="s">
        <v>81</v>
      </c>
      <c r="D60" s="309">
        <v>130.6</v>
      </c>
      <c r="E60" s="74">
        <v>1</v>
      </c>
      <c r="F60" s="104">
        <v>7367149</v>
      </c>
      <c r="G60" s="225">
        <f>IF(ISBLANK(F60),"-",(F60/$D$50*$D$47*$B$68)*($B$57/$D$60))</f>
        <v>454.18138406289995</v>
      </c>
      <c r="H60" s="168">
        <f t="shared" ref="H60:H71" si="0">IF(ISBLANK(F60),"-",G60/$B$56)</f>
        <v>0.94621121679770825</v>
      </c>
      <c r="L60" s="63"/>
    </row>
    <row r="61" spans="1:12" s="2" customFormat="1" ht="26.25" customHeight="1" x14ac:dyDescent="0.4">
      <c r="A61" s="144" t="s">
        <v>129</v>
      </c>
      <c r="B61" s="97">
        <v>20</v>
      </c>
      <c r="C61" s="306"/>
      <c r="D61" s="310"/>
      <c r="E61" s="169">
        <v>2</v>
      </c>
      <c r="F61" s="99">
        <v>7398838</v>
      </c>
      <c r="G61" s="226">
        <f>IF(ISBLANK(F61),"-",(F61/$D$50*$D$47*$B$68)*($B$57/$D$60))</f>
        <v>456.13499649554774</v>
      </c>
      <c r="H61" s="171">
        <f t="shared" si="0"/>
        <v>0.95028124269905778</v>
      </c>
      <c r="L61" s="63"/>
    </row>
    <row r="62" spans="1:12" s="2" customFormat="1" ht="26.25" customHeight="1" x14ac:dyDescent="0.4">
      <c r="A62" s="144" t="s">
        <v>130</v>
      </c>
      <c r="B62" s="97">
        <v>1</v>
      </c>
      <c r="C62" s="306"/>
      <c r="D62" s="310"/>
      <c r="E62" s="169">
        <v>3</v>
      </c>
      <c r="F62" s="53">
        <v>7418497</v>
      </c>
      <c r="G62" s="226">
        <f>IF(ISBLANK(F62),"-",(F62/$D$50*$D$47*$B$68)*($B$57/$D$60))</f>
        <v>457.34696490141181</v>
      </c>
      <c r="H62" s="171">
        <f t="shared" si="0"/>
        <v>0.95280617687794122</v>
      </c>
      <c r="L62" s="63"/>
    </row>
    <row r="63" spans="1:12" ht="27" customHeight="1" x14ac:dyDescent="0.4">
      <c r="A63" s="144" t="s">
        <v>131</v>
      </c>
      <c r="B63" s="97">
        <v>1</v>
      </c>
      <c r="C63" s="307"/>
      <c r="D63" s="311"/>
      <c r="E63" s="172">
        <v>4</v>
      </c>
      <c r="F63" s="105"/>
      <c r="G63" s="226" t="str">
        <f>IF(ISBLANK(F63),"-",(F63/$D$50*$D$47*$B$68)*($B$57/$D$60))</f>
        <v>-</v>
      </c>
      <c r="H63" s="171" t="str">
        <f t="shared" si="0"/>
        <v>-</v>
      </c>
    </row>
    <row r="64" spans="1:12" ht="26.25" customHeight="1" x14ac:dyDescent="0.4">
      <c r="A64" s="144" t="s">
        <v>132</v>
      </c>
      <c r="B64" s="97">
        <v>1</v>
      </c>
      <c r="C64" s="305" t="s">
        <v>82</v>
      </c>
      <c r="D64" s="309">
        <v>129.44</v>
      </c>
      <c r="E64" s="74">
        <v>1</v>
      </c>
      <c r="F64" s="104">
        <v>7332734</v>
      </c>
      <c r="G64" s="227">
        <f>IF(ISBLANK(F64),"-",(F64/$D$50*$D$47*$B$68)*($B$57/$D$64))</f>
        <v>456.1109299686741</v>
      </c>
      <c r="H64" s="173">
        <f t="shared" si="0"/>
        <v>0.95023110410140432</v>
      </c>
    </row>
    <row r="65" spans="1:8" ht="26.25" customHeight="1" x14ac:dyDescent="0.4">
      <c r="A65" s="144" t="s">
        <v>133</v>
      </c>
      <c r="B65" s="97">
        <v>1</v>
      </c>
      <c r="C65" s="306"/>
      <c r="D65" s="310"/>
      <c r="E65" s="169">
        <v>2</v>
      </c>
      <c r="F65" s="99">
        <v>7326469</v>
      </c>
      <c r="G65" s="228">
        <f>IF(ISBLANK(F65),"-",(F65/$D$50*$D$47*$B$68)*($B$57/$D$64))</f>
        <v>455.72123425950832</v>
      </c>
      <c r="H65" s="175">
        <f t="shared" si="0"/>
        <v>0.94941923804064232</v>
      </c>
    </row>
    <row r="66" spans="1:8" ht="26.25" customHeight="1" x14ac:dyDescent="0.4">
      <c r="A66" s="144" t="s">
        <v>134</v>
      </c>
      <c r="B66" s="97">
        <v>1</v>
      </c>
      <c r="C66" s="306"/>
      <c r="D66" s="310"/>
      <c r="E66" s="169">
        <v>3</v>
      </c>
      <c r="F66" s="99">
        <v>7363705</v>
      </c>
      <c r="G66" s="228">
        <f>IF(ISBLANK(F66),"-",(F66/$D$50*$D$47*$B$68)*($B$57/$D$64))</f>
        <v>458.03738899637909</v>
      </c>
      <c r="H66" s="175">
        <f t="shared" si="0"/>
        <v>0.95424456040912309</v>
      </c>
    </row>
    <row r="67" spans="1:8" ht="27" customHeight="1" x14ac:dyDescent="0.4">
      <c r="A67" s="144" t="s">
        <v>135</v>
      </c>
      <c r="B67" s="97">
        <v>1</v>
      </c>
      <c r="C67" s="307"/>
      <c r="D67" s="311"/>
      <c r="E67" s="172">
        <v>4</v>
      </c>
      <c r="F67" s="105"/>
      <c r="G67" s="229" t="str">
        <f>IF(ISBLANK(F67),"-",(F67/$D$50*$D$47*$B$68)*($B$57/$D$64))</f>
        <v>-</v>
      </c>
      <c r="H67" s="177" t="str">
        <f t="shared" si="0"/>
        <v>-</v>
      </c>
    </row>
    <row r="68" spans="1:8" ht="26.25" customHeight="1" x14ac:dyDescent="0.4">
      <c r="A68" s="144" t="s">
        <v>83</v>
      </c>
      <c r="B68" s="230">
        <f>(B67/B66)*(B65/B64)*(B63/B62)*(B61/B60)*B59</f>
        <v>1000</v>
      </c>
      <c r="C68" s="305" t="s">
        <v>84</v>
      </c>
      <c r="D68" s="309">
        <v>135.55000000000001</v>
      </c>
      <c r="E68" s="74">
        <v>1</v>
      </c>
      <c r="F68" s="104">
        <v>7706314</v>
      </c>
      <c r="G68" s="227">
        <f>IF(ISBLANK(F68),"-",(F68/$D$50*$D$47*$B$68)*($B$57/$D$68))</f>
        <v>457.74144014651722</v>
      </c>
      <c r="H68" s="171">
        <f t="shared" si="0"/>
        <v>0.95362800030524419</v>
      </c>
    </row>
    <row r="69" spans="1:8" ht="27" customHeight="1" x14ac:dyDescent="0.4">
      <c r="A69" s="178" t="s">
        <v>85</v>
      </c>
      <c r="B69" s="179">
        <f>(D47*B68)/B56*B57</f>
        <v>133.8501875</v>
      </c>
      <c r="C69" s="306"/>
      <c r="D69" s="310"/>
      <c r="E69" s="169">
        <v>2</v>
      </c>
      <c r="F69" s="99">
        <v>7869935</v>
      </c>
      <c r="G69" s="228">
        <f>IF(ISBLANK(F69),"-",(F69/$D$50*$D$47*$B$68)*($B$57/$D$68))</f>
        <v>467.46023854718106</v>
      </c>
      <c r="H69" s="171">
        <f t="shared" si="0"/>
        <v>0.9738754969732939</v>
      </c>
    </row>
    <row r="70" spans="1:8" ht="26.25" customHeight="1" x14ac:dyDescent="0.4">
      <c r="A70" s="319" t="s">
        <v>66</v>
      </c>
      <c r="B70" s="320"/>
      <c r="C70" s="306"/>
      <c r="D70" s="310"/>
      <c r="E70" s="169">
        <v>3</v>
      </c>
      <c r="F70" s="99">
        <v>7875900</v>
      </c>
      <c r="G70" s="228">
        <f>IF(ISBLANK(F70),"-",(F70/$D$50*$D$47*$B$68)*($B$57/$D$68))</f>
        <v>467.8145490113634</v>
      </c>
      <c r="H70" s="171">
        <f t="shared" si="0"/>
        <v>0.97461364377367377</v>
      </c>
    </row>
    <row r="71" spans="1:8" ht="27" customHeight="1" x14ac:dyDescent="0.4">
      <c r="A71" s="321"/>
      <c r="B71" s="322"/>
      <c r="C71" s="308"/>
      <c r="D71" s="311"/>
      <c r="E71" s="172">
        <v>4</v>
      </c>
      <c r="F71" s="105"/>
      <c r="G71" s="229" t="str">
        <f>IF(ISBLANK(F71),"-",(F71/$D$50*$D$47*$B$68)*($B$57/$D$68))</f>
        <v>-</v>
      </c>
      <c r="H71" s="180" t="str">
        <f t="shared" si="0"/>
        <v>-</v>
      </c>
    </row>
    <row r="72" spans="1:8" ht="26.25" customHeight="1" x14ac:dyDescent="0.4">
      <c r="A72" s="123"/>
      <c r="B72" s="123"/>
      <c r="C72" s="123"/>
      <c r="D72" s="123"/>
      <c r="E72" s="123"/>
      <c r="F72" s="181" t="s">
        <v>61</v>
      </c>
      <c r="G72" s="58">
        <f>AVERAGE(G60:G71)</f>
        <v>458.94990293216478</v>
      </c>
      <c r="H72" s="106">
        <f>AVERAGE(H60:H71)</f>
        <v>0.95614563110867656</v>
      </c>
    </row>
    <row r="73" spans="1:8" ht="26.25" customHeight="1" x14ac:dyDescent="0.4">
      <c r="C73" s="123"/>
      <c r="D73" s="123"/>
      <c r="E73" s="123"/>
      <c r="F73" s="165" t="s">
        <v>72</v>
      </c>
      <c r="G73" s="107">
        <f>STDEV(G60:G71)/G72</f>
        <v>1.1030226335629471E-2</v>
      </c>
      <c r="H73" s="107">
        <f>STDEV(H60:H71)/H72</f>
        <v>1.1030226335629485E-2</v>
      </c>
    </row>
    <row r="74" spans="1:8" ht="27" customHeight="1" x14ac:dyDescent="0.4">
      <c r="A74" s="123"/>
      <c r="B74" s="123"/>
      <c r="C74" s="123"/>
      <c r="D74" s="123"/>
      <c r="E74" s="64"/>
      <c r="F74" s="166" t="s">
        <v>19</v>
      </c>
      <c r="G74" s="108">
        <f>COUNT(G60:G71)</f>
        <v>9</v>
      </c>
      <c r="H74" s="108">
        <f>COUNT(H60:H71)</f>
        <v>9</v>
      </c>
    </row>
    <row r="76" spans="1:8" ht="26.25" customHeight="1" x14ac:dyDescent="0.4">
      <c r="A76" s="88" t="s">
        <v>86</v>
      </c>
      <c r="B76" s="88" t="s">
        <v>87</v>
      </c>
      <c r="C76" s="295" t="str">
        <f>B20</f>
        <v>Artemether 80mg, Lumefantrine 480mg</v>
      </c>
      <c r="D76" s="295"/>
      <c r="E76" s="61" t="s">
        <v>88</v>
      </c>
      <c r="F76" s="61"/>
      <c r="G76" s="116">
        <f>H72</f>
        <v>0.95614563110867656</v>
      </c>
      <c r="H76" s="123"/>
    </row>
    <row r="77" spans="1:8" ht="18.75" x14ac:dyDescent="0.3">
      <c r="A77" s="62" t="s">
        <v>89</v>
      </c>
      <c r="B77" s="62" t="s">
        <v>90</v>
      </c>
    </row>
    <row r="78" spans="1:8" ht="18.75" x14ac:dyDescent="0.3">
      <c r="A78" s="62"/>
      <c r="B78" s="62"/>
    </row>
    <row r="79" spans="1:8" ht="26.25" customHeight="1" x14ac:dyDescent="0.4">
      <c r="A79" s="88" t="s">
        <v>4</v>
      </c>
      <c r="B79" s="328" t="str">
        <f>B26</f>
        <v xml:space="preserve">Lumefantrine </v>
      </c>
      <c r="C79" s="328"/>
    </row>
    <row r="80" spans="1:8" ht="26.25" customHeight="1" x14ac:dyDescent="0.4">
      <c r="A80" s="88" t="s">
        <v>44</v>
      </c>
      <c r="B80" s="328" t="str">
        <f>B27</f>
        <v>WS/14/046</v>
      </c>
      <c r="C80" s="328"/>
    </row>
    <row r="81" spans="1:12" ht="27" customHeight="1" x14ac:dyDescent="0.4">
      <c r="A81" s="88" t="s">
        <v>6</v>
      </c>
      <c r="B81" s="94">
        <f>B28</f>
        <v>100.2</v>
      </c>
    </row>
    <row r="82" spans="1:12" s="2" customFormat="1" ht="27" customHeight="1" x14ac:dyDescent="0.4">
      <c r="A82" s="88" t="s">
        <v>45</v>
      </c>
      <c r="B82" s="94">
        <v>0</v>
      </c>
      <c r="C82" s="297" t="s">
        <v>46</v>
      </c>
      <c r="D82" s="298"/>
      <c r="E82" s="298"/>
      <c r="F82" s="298"/>
      <c r="G82" s="299"/>
      <c r="I82" s="63"/>
      <c r="J82" s="63"/>
      <c r="K82" s="63"/>
      <c r="L82" s="63"/>
    </row>
    <row r="83" spans="1:12" s="2" customFormat="1" ht="19.5" customHeight="1" x14ac:dyDescent="0.3">
      <c r="A83" s="88" t="s">
        <v>47</v>
      </c>
      <c r="B83" s="123">
        <f>B81-B82</f>
        <v>100.2</v>
      </c>
      <c r="C83" s="140"/>
      <c r="D83" s="140"/>
      <c r="E83" s="140"/>
      <c r="F83" s="140"/>
      <c r="G83" s="141"/>
      <c r="I83" s="63"/>
      <c r="J83" s="63"/>
      <c r="K83" s="63"/>
      <c r="L83" s="63"/>
    </row>
    <row r="84" spans="1:12" s="2" customFormat="1" ht="27" customHeight="1" x14ac:dyDescent="0.4">
      <c r="A84" s="88" t="s">
        <v>48</v>
      </c>
      <c r="B84" s="95">
        <v>1</v>
      </c>
      <c r="C84" s="302" t="s">
        <v>91</v>
      </c>
      <c r="D84" s="303"/>
      <c r="E84" s="303"/>
      <c r="F84" s="303"/>
      <c r="G84" s="303"/>
      <c r="H84" s="304"/>
      <c r="I84" s="63"/>
      <c r="J84" s="63"/>
      <c r="K84" s="63"/>
      <c r="L84" s="63"/>
    </row>
    <row r="85" spans="1:12" s="2" customFormat="1" ht="27" customHeight="1" x14ac:dyDescent="0.4">
      <c r="A85" s="88" t="s">
        <v>50</v>
      </c>
      <c r="B85" s="95">
        <v>1</v>
      </c>
      <c r="C85" s="302" t="s">
        <v>92</v>
      </c>
      <c r="D85" s="303"/>
      <c r="E85" s="303"/>
      <c r="F85" s="303"/>
      <c r="G85" s="303"/>
      <c r="H85" s="304"/>
      <c r="I85" s="63"/>
      <c r="J85" s="63"/>
      <c r="K85" s="63"/>
      <c r="L85" s="63"/>
    </row>
    <row r="86" spans="1:12" s="2" customFormat="1" ht="18.75" x14ac:dyDescent="0.3">
      <c r="A86" s="88"/>
      <c r="B86" s="64"/>
      <c r="C86" s="66"/>
      <c r="D86" s="66"/>
      <c r="E86" s="66"/>
      <c r="F86" s="66"/>
      <c r="G86" s="66"/>
      <c r="H86" s="66"/>
      <c r="I86" s="63"/>
      <c r="J86" s="63"/>
      <c r="K86" s="63"/>
      <c r="L86" s="63"/>
    </row>
    <row r="87" spans="1:12" s="2" customFormat="1" ht="18.75" x14ac:dyDescent="0.3">
      <c r="A87" s="88" t="s">
        <v>52</v>
      </c>
      <c r="B87" s="67">
        <f>B84/B85</f>
        <v>1</v>
      </c>
      <c r="C87" s="61" t="s">
        <v>53</v>
      </c>
      <c r="D87" s="61"/>
      <c r="E87" s="61"/>
      <c r="F87" s="61"/>
      <c r="G87" s="61"/>
      <c r="I87" s="63"/>
      <c r="J87" s="63"/>
      <c r="K87" s="63"/>
      <c r="L87" s="63"/>
    </row>
    <row r="88" spans="1:12" ht="19.5" customHeight="1" x14ac:dyDescent="0.3">
      <c r="A88" s="62"/>
      <c r="B88" s="62"/>
    </row>
    <row r="89" spans="1:12" ht="27" customHeight="1" x14ac:dyDescent="0.4">
      <c r="A89" s="143" t="s">
        <v>54</v>
      </c>
      <c r="B89" s="96">
        <v>50</v>
      </c>
      <c r="D89" s="121" t="s">
        <v>55</v>
      </c>
      <c r="E89" s="125"/>
      <c r="F89" s="300" t="s">
        <v>56</v>
      </c>
      <c r="G89" s="301"/>
    </row>
    <row r="90" spans="1:12" ht="27" customHeight="1" x14ac:dyDescent="0.4">
      <c r="A90" s="144" t="s">
        <v>120</v>
      </c>
      <c r="B90" s="97">
        <v>5</v>
      </c>
      <c r="C90" s="124" t="s">
        <v>57</v>
      </c>
      <c r="D90" s="69" t="s">
        <v>58</v>
      </c>
      <c r="E90" s="85" t="s">
        <v>59</v>
      </c>
      <c r="F90" s="69" t="s">
        <v>58</v>
      </c>
      <c r="G90" s="70" t="s">
        <v>59</v>
      </c>
      <c r="I90" s="49" t="s">
        <v>60</v>
      </c>
    </row>
    <row r="91" spans="1:12" ht="26.25" customHeight="1" x14ac:dyDescent="0.4">
      <c r="A91" s="144" t="s">
        <v>121</v>
      </c>
      <c r="B91" s="97">
        <v>20</v>
      </c>
      <c r="C91" s="182">
        <v>1</v>
      </c>
      <c r="D91" s="98">
        <v>0.73529999999999995</v>
      </c>
      <c r="E91" s="146">
        <f>IF(ISBLANK(D91),"-",$D$101/$D$98*D91)</f>
        <v>0.7262670535218223</v>
      </c>
      <c r="F91" s="98">
        <v>0.80889999999999995</v>
      </c>
      <c r="G91" s="147">
        <f>IF(ISBLANK(F91),"-",$D$101/$F$98*F91)</f>
        <v>0.73612653113226423</v>
      </c>
      <c r="I91" s="212"/>
    </row>
    <row r="92" spans="1:12" ht="26.25" customHeight="1" x14ac:dyDescent="0.4">
      <c r="A92" s="144" t="s">
        <v>122</v>
      </c>
      <c r="B92" s="97">
        <v>1</v>
      </c>
      <c r="C92" s="123">
        <v>2</v>
      </c>
      <c r="D92" s="99">
        <v>0.73280000000000001</v>
      </c>
      <c r="E92" s="148">
        <f>IF(ISBLANK(D92),"-",$D$101/$D$98*D92)</f>
        <v>0.72379776529415396</v>
      </c>
      <c r="F92" s="99">
        <v>0.80840000000000001</v>
      </c>
      <c r="G92" s="149">
        <f>IF(ISBLANK(F92),"-",$D$101/$F$98*F92)</f>
        <v>0.73567151411462783</v>
      </c>
      <c r="I92" s="330">
        <f>ABS((F96/D96*D95)-F95)/D95</f>
        <v>1.6973840955406206E-2</v>
      </c>
    </row>
    <row r="93" spans="1:12" ht="26.25" customHeight="1" x14ac:dyDescent="0.4">
      <c r="A93" s="144" t="s">
        <v>123</v>
      </c>
      <c r="B93" s="97">
        <v>1</v>
      </c>
      <c r="C93" s="123">
        <v>3</v>
      </c>
      <c r="D93" s="99">
        <v>0.73350000000000004</v>
      </c>
      <c r="E93" s="148">
        <f>IF(ISBLANK(D93),"-",$D$101/$D$98*D93)</f>
        <v>0.72448916599790114</v>
      </c>
      <c r="F93" s="99">
        <v>0.80959999999999999</v>
      </c>
      <c r="G93" s="149">
        <f>IF(ISBLANK(F93),"-",$D$101/$F$98*F93)</f>
        <v>0.73676355495695534</v>
      </c>
      <c r="I93" s="330"/>
    </row>
    <row r="94" spans="1:12" ht="27" customHeight="1" x14ac:dyDescent="0.4">
      <c r="A94" s="144" t="s">
        <v>124</v>
      </c>
      <c r="B94" s="97">
        <v>1</v>
      </c>
      <c r="C94" s="183">
        <v>4</v>
      </c>
      <c r="D94" s="100"/>
      <c r="E94" s="151" t="str">
        <f>IF(ISBLANK(D94),"-",$D$101/$D$98*D94)</f>
        <v>-</v>
      </c>
      <c r="F94" s="109"/>
      <c r="G94" s="152" t="str">
        <f>IF(ISBLANK(F94),"-",$D$101/$F$98*F94)</f>
        <v>-</v>
      </c>
      <c r="I94" s="213"/>
    </row>
    <row r="95" spans="1:12" ht="27" customHeight="1" x14ac:dyDescent="0.4">
      <c r="A95" s="144" t="s">
        <v>125</v>
      </c>
      <c r="B95" s="97">
        <v>1</v>
      </c>
      <c r="C95" s="88" t="s">
        <v>61</v>
      </c>
      <c r="D95" s="284">
        <f>AVERAGE(D91:D94)</f>
        <v>0.73386666666666667</v>
      </c>
      <c r="E95" s="76">
        <f>AVERAGE(E91:E94)</f>
        <v>0.72485132827129239</v>
      </c>
      <c r="F95" s="285">
        <f>AVERAGE(F91:F94)</f>
        <v>0.80896666666666661</v>
      </c>
      <c r="G95" s="54">
        <f>AVERAGE(G91:G94)</f>
        <v>0.73618720006794913</v>
      </c>
    </row>
    <row r="96" spans="1:12" ht="26.25" customHeight="1" x14ac:dyDescent="0.4">
      <c r="A96" s="144" t="s">
        <v>126</v>
      </c>
      <c r="B96" s="94">
        <v>1</v>
      </c>
      <c r="C96" s="154" t="s">
        <v>93</v>
      </c>
      <c r="D96" s="101">
        <v>24.25</v>
      </c>
      <c r="E96" s="61"/>
      <c r="F96" s="102">
        <v>26.32</v>
      </c>
    </row>
    <row r="97" spans="1:10" ht="26.25" customHeight="1" x14ac:dyDescent="0.4">
      <c r="A97" s="144" t="s">
        <v>127</v>
      </c>
      <c r="B97" s="94">
        <v>1</v>
      </c>
      <c r="C97" s="155" t="s">
        <v>94</v>
      </c>
      <c r="D97" s="156">
        <f>D96*$B$87</f>
        <v>24.25</v>
      </c>
      <c r="E97" s="123"/>
      <c r="F97" s="157">
        <f>F96*$B$87</f>
        <v>26.32</v>
      </c>
    </row>
    <row r="98" spans="1:10" ht="19.5" customHeight="1" x14ac:dyDescent="0.3">
      <c r="A98" s="144" t="s">
        <v>64</v>
      </c>
      <c r="B98" s="123">
        <f>(B97/B96)*(B95/B94)*(B93/B92)*(B91/B90)*B89</f>
        <v>200</v>
      </c>
      <c r="C98" s="155" t="s">
        <v>95</v>
      </c>
      <c r="D98" s="158">
        <f>D97*$B$83/100</f>
        <v>24.298500000000001</v>
      </c>
      <c r="E98" s="64"/>
      <c r="F98" s="159">
        <f>F97*$B$83/100</f>
        <v>26.372640000000001</v>
      </c>
    </row>
    <row r="99" spans="1:10" ht="19.5" customHeight="1" x14ac:dyDescent="0.3">
      <c r="A99" s="313" t="s">
        <v>66</v>
      </c>
      <c r="B99" s="317"/>
      <c r="C99" s="155" t="s">
        <v>96</v>
      </c>
      <c r="D99" s="231">
        <f>D98/$B$98</f>
        <v>0.1214925</v>
      </c>
      <c r="E99" s="64"/>
      <c r="F99" s="218">
        <f>F98/$B$98</f>
        <v>0.13186320000000001</v>
      </c>
      <c r="H99" s="135"/>
    </row>
    <row r="100" spans="1:10" ht="19.5" customHeight="1" x14ac:dyDescent="0.3">
      <c r="A100" s="315"/>
      <c r="B100" s="318"/>
      <c r="C100" s="155" t="s">
        <v>68</v>
      </c>
      <c r="D100" s="232">
        <f>$B$56/$B$116</f>
        <v>0.12</v>
      </c>
      <c r="F100" s="161"/>
      <c r="G100" s="184"/>
      <c r="H100" s="135"/>
    </row>
    <row r="101" spans="1:10" ht="18.75" x14ac:dyDescent="0.3">
      <c r="C101" s="155" t="s">
        <v>69</v>
      </c>
      <c r="D101" s="156">
        <f>D100*$B$98</f>
        <v>24</v>
      </c>
      <c r="F101" s="161"/>
      <c r="H101" s="135"/>
    </row>
    <row r="102" spans="1:10" ht="19.5" customHeight="1" x14ac:dyDescent="0.3">
      <c r="C102" s="162" t="s">
        <v>70</v>
      </c>
      <c r="D102" s="163">
        <f>D101/B34</f>
        <v>24</v>
      </c>
      <c r="F102" s="83"/>
      <c r="H102" s="135"/>
      <c r="J102" s="77"/>
    </row>
    <row r="103" spans="1:10" ht="18.75" x14ac:dyDescent="0.3">
      <c r="C103" s="164" t="s">
        <v>97</v>
      </c>
      <c r="D103" s="90">
        <f>AVERAGE(E91:E94,G91:G94)</f>
        <v>0.73051926416962065</v>
      </c>
      <c r="F103" s="83"/>
      <c r="G103" s="184"/>
      <c r="H103" s="135"/>
      <c r="J103" s="185"/>
    </row>
    <row r="104" spans="1:10" ht="18.75" x14ac:dyDescent="0.3">
      <c r="C104" s="165" t="s">
        <v>72</v>
      </c>
      <c r="D104" s="78">
        <f>STDEV(E91:E94,G91:G94)/D103</f>
        <v>8.5837156091596607E-3</v>
      </c>
      <c r="F104" s="83"/>
      <c r="H104" s="135"/>
      <c r="J104" s="185"/>
    </row>
    <row r="105" spans="1:10" ht="19.5" customHeight="1" x14ac:dyDescent="0.3">
      <c r="C105" s="166" t="s">
        <v>19</v>
      </c>
      <c r="D105" s="79">
        <f>COUNT(E91:E94,G91:G94)</f>
        <v>6</v>
      </c>
      <c r="F105" s="83"/>
      <c r="H105" s="135"/>
      <c r="J105" s="185"/>
    </row>
    <row r="106" spans="1:10" ht="19.5" customHeight="1" x14ac:dyDescent="0.3">
      <c r="A106" s="60"/>
      <c r="B106" s="60"/>
      <c r="C106" s="60"/>
      <c r="D106" s="60"/>
      <c r="E106" s="60"/>
    </row>
    <row r="107" spans="1:10" ht="26.25" customHeight="1" x14ac:dyDescent="0.4">
      <c r="A107" s="143" t="s">
        <v>98</v>
      </c>
      <c r="B107" s="96">
        <v>1000</v>
      </c>
      <c r="C107" s="121" t="s">
        <v>99</v>
      </c>
      <c r="D107" s="80" t="s">
        <v>58</v>
      </c>
      <c r="E107" s="55" t="s">
        <v>100</v>
      </c>
      <c r="F107" s="82" t="s">
        <v>101</v>
      </c>
    </row>
    <row r="108" spans="1:10" ht="26.25" customHeight="1" x14ac:dyDescent="0.4">
      <c r="A108" s="144" t="s">
        <v>128</v>
      </c>
      <c r="B108" s="97">
        <v>5</v>
      </c>
      <c r="C108" s="186">
        <v>1</v>
      </c>
      <c r="D108" s="118">
        <v>0.54620000000000002</v>
      </c>
      <c r="E108" s="233">
        <f t="shared" ref="E108:E113" si="1">IF(ISBLANK(D108),"-",D108/$D$103*$D$100*$B$116)</f>
        <v>358.88991962178409</v>
      </c>
      <c r="F108" s="188">
        <f t="shared" ref="F108:F113" si="2">IF(ISBLANK(D108), "-", E108/$B$56)</f>
        <v>0.74768733254538355</v>
      </c>
    </row>
    <row r="109" spans="1:10" ht="26.25" customHeight="1" x14ac:dyDescent="0.4">
      <c r="A109" s="144" t="s">
        <v>129</v>
      </c>
      <c r="B109" s="97">
        <v>20</v>
      </c>
      <c r="C109" s="186">
        <v>2</v>
      </c>
      <c r="D109" s="118">
        <v>0.54630000000000001</v>
      </c>
      <c r="E109" s="234">
        <f t="shared" si="1"/>
        <v>358.95562630791039</v>
      </c>
      <c r="F109" s="190">
        <f t="shared" si="2"/>
        <v>0.74782422147481331</v>
      </c>
    </row>
    <row r="110" spans="1:10" ht="26.25" customHeight="1" x14ac:dyDescent="0.4">
      <c r="A110" s="144" t="s">
        <v>130</v>
      </c>
      <c r="B110" s="97">
        <v>1</v>
      </c>
      <c r="C110" s="186">
        <v>3</v>
      </c>
      <c r="D110" s="118">
        <v>0.56359999999999999</v>
      </c>
      <c r="E110" s="234">
        <f t="shared" si="1"/>
        <v>370.32288300775815</v>
      </c>
      <c r="F110" s="190">
        <f t="shared" si="2"/>
        <v>0.77150600626616284</v>
      </c>
    </row>
    <row r="111" spans="1:10" ht="26.25" customHeight="1" x14ac:dyDescent="0.4">
      <c r="A111" s="144" t="s">
        <v>131</v>
      </c>
      <c r="B111" s="97">
        <v>1</v>
      </c>
      <c r="C111" s="186">
        <v>4</v>
      </c>
      <c r="D111" s="118">
        <v>0.56699999999999995</v>
      </c>
      <c r="E111" s="234">
        <f t="shared" si="1"/>
        <v>372.55691033605189</v>
      </c>
      <c r="F111" s="190">
        <f t="shared" si="2"/>
        <v>0.7761602298667748</v>
      </c>
    </row>
    <row r="112" spans="1:10" ht="26.25" customHeight="1" x14ac:dyDescent="0.4">
      <c r="A112" s="144" t="s">
        <v>132</v>
      </c>
      <c r="B112" s="97">
        <v>1</v>
      </c>
      <c r="C112" s="186">
        <v>5</v>
      </c>
      <c r="D112" s="118">
        <v>0.56999999999999995</v>
      </c>
      <c r="E112" s="234">
        <f t="shared" si="1"/>
        <v>374.52811091984057</v>
      </c>
      <c r="F112" s="190">
        <f t="shared" si="2"/>
        <v>0.78026689774966784</v>
      </c>
    </row>
    <row r="113" spans="1:10" ht="26.25" customHeight="1" x14ac:dyDescent="0.4">
      <c r="A113" s="144" t="s">
        <v>133</v>
      </c>
      <c r="B113" s="97">
        <v>1</v>
      </c>
      <c r="C113" s="191">
        <v>6</v>
      </c>
      <c r="D113" s="119">
        <v>0.56179999999999997</v>
      </c>
      <c r="E113" s="235">
        <f t="shared" si="1"/>
        <v>369.14016265748495</v>
      </c>
      <c r="F113" s="193">
        <f t="shared" si="2"/>
        <v>0.76904200553642699</v>
      </c>
    </row>
    <row r="114" spans="1:10" ht="26.25" customHeight="1" x14ac:dyDescent="0.4">
      <c r="A114" s="144" t="s">
        <v>134</v>
      </c>
      <c r="B114" s="97">
        <v>1</v>
      </c>
      <c r="C114" s="186"/>
      <c r="D114" s="123"/>
      <c r="E114" s="61"/>
      <c r="F114" s="194"/>
    </row>
    <row r="115" spans="1:10" ht="26.25" customHeight="1" x14ac:dyDescent="0.4">
      <c r="A115" s="144" t="s">
        <v>135</v>
      </c>
      <c r="B115" s="97">
        <v>1</v>
      </c>
      <c r="C115" s="186"/>
      <c r="D115" s="195" t="s">
        <v>61</v>
      </c>
      <c r="E115" s="59">
        <f>AVERAGE(E108:E113)</f>
        <v>367.39893547513833</v>
      </c>
      <c r="F115" s="113">
        <f>AVERAGE(F108:F113)</f>
        <v>0.76541444890653831</v>
      </c>
    </row>
    <row r="116" spans="1:10" ht="27" customHeight="1" x14ac:dyDescent="0.4">
      <c r="A116" s="144" t="s">
        <v>83</v>
      </c>
      <c r="B116" s="89">
        <f>(B115/B114)*(B113/B112)*(B111/B110)*(B109/B108)*B107</f>
        <v>4000</v>
      </c>
      <c r="C116" s="196"/>
      <c r="D116" s="88" t="s">
        <v>72</v>
      </c>
      <c r="E116" s="114">
        <f>STDEV(E108:E113)/E115</f>
        <v>1.8568594696752535E-2</v>
      </c>
      <c r="F116" s="114">
        <f>STDEV(F108:F113)/F115</f>
        <v>1.8568594696752528E-2</v>
      </c>
      <c r="I116" s="61"/>
    </row>
    <row r="117" spans="1:10" ht="27" customHeight="1" x14ac:dyDescent="0.4">
      <c r="A117" s="313" t="s">
        <v>66</v>
      </c>
      <c r="B117" s="314"/>
      <c r="C117" s="198"/>
      <c r="D117" s="200" t="s">
        <v>19</v>
      </c>
      <c r="E117" s="115">
        <f>COUNT(E108:E113)</f>
        <v>6</v>
      </c>
      <c r="F117" s="115">
        <f>COUNT(F108:F113)</f>
        <v>6</v>
      </c>
      <c r="I117" s="61"/>
      <c r="J117" s="185"/>
    </row>
    <row r="118" spans="1:10" ht="19.5" customHeight="1" x14ac:dyDescent="0.3">
      <c r="A118" s="315"/>
      <c r="B118" s="316"/>
      <c r="C118" s="61"/>
      <c r="D118" s="61"/>
      <c r="E118" s="61"/>
      <c r="F118" s="123"/>
      <c r="G118" s="61"/>
      <c r="H118" s="61"/>
      <c r="I118" s="61"/>
    </row>
    <row r="119" spans="1:10" ht="18.75" x14ac:dyDescent="0.3">
      <c r="A119" s="56"/>
      <c r="B119" s="66"/>
      <c r="C119" s="61"/>
      <c r="D119" s="61"/>
      <c r="E119" s="61"/>
      <c r="F119" s="123"/>
      <c r="G119" s="61"/>
      <c r="H119" s="61"/>
      <c r="I119" s="61"/>
    </row>
    <row r="120" spans="1:10" ht="26.25" customHeight="1" x14ac:dyDescent="0.4">
      <c r="A120" s="88" t="s">
        <v>86</v>
      </c>
      <c r="B120" s="88" t="s">
        <v>102</v>
      </c>
      <c r="C120" s="295" t="str">
        <f>B20</f>
        <v>Artemether 80mg, Lumefantrine 480mg</v>
      </c>
      <c r="D120" s="295"/>
      <c r="E120" s="61" t="s">
        <v>103</v>
      </c>
      <c r="F120" s="61"/>
      <c r="G120" s="116">
        <f>F115</f>
        <v>0.76541444890653831</v>
      </c>
      <c r="H120" s="61"/>
      <c r="I120" s="61"/>
    </row>
    <row r="121" spans="1:10" ht="19.5" customHeight="1" x14ac:dyDescent="0.3">
      <c r="A121" s="122"/>
      <c r="B121" s="122"/>
      <c r="C121" s="208"/>
      <c r="D121" s="208"/>
      <c r="E121" s="208"/>
      <c r="F121" s="208"/>
      <c r="G121" s="208"/>
      <c r="H121" s="208"/>
    </row>
    <row r="122" spans="1:10" ht="18.75" x14ac:dyDescent="0.3">
      <c r="B122" s="296" t="s">
        <v>22</v>
      </c>
      <c r="C122" s="296"/>
      <c r="E122" s="124" t="s">
        <v>23</v>
      </c>
      <c r="F122" s="124"/>
      <c r="G122" s="296" t="s">
        <v>24</v>
      </c>
      <c r="H122" s="296"/>
    </row>
    <row r="123" spans="1:10" ht="38.25" customHeight="1" x14ac:dyDescent="0.3">
      <c r="A123" s="88" t="s">
        <v>25</v>
      </c>
      <c r="B123" s="210"/>
      <c r="C123" s="210"/>
      <c r="E123" s="210"/>
      <c r="F123" s="61"/>
      <c r="G123" s="210"/>
      <c r="H123" s="210"/>
    </row>
    <row r="124" spans="1:10" ht="45" customHeight="1" x14ac:dyDescent="0.3">
      <c r="A124" s="88" t="s">
        <v>26</v>
      </c>
      <c r="B124" s="87"/>
      <c r="C124" s="87"/>
      <c r="E124" s="87"/>
      <c r="F124" s="61"/>
      <c r="G124" s="87"/>
      <c r="H124" s="87"/>
    </row>
    <row r="125" spans="1:10" ht="18.75" x14ac:dyDescent="0.3">
      <c r="A125" s="123"/>
      <c r="B125" s="123"/>
      <c r="C125" s="123"/>
      <c r="D125" s="123"/>
      <c r="E125" s="123"/>
      <c r="F125" s="64"/>
      <c r="G125" s="123"/>
      <c r="H125" s="123"/>
      <c r="I125" s="61"/>
    </row>
    <row r="126" spans="1:10" ht="18.75" x14ac:dyDescent="0.3">
      <c r="A126" s="123"/>
      <c r="B126" s="123"/>
      <c r="C126" s="123"/>
      <c r="D126" s="123"/>
      <c r="E126" s="123"/>
      <c r="F126" s="64"/>
      <c r="G126" s="123"/>
      <c r="H126" s="123"/>
      <c r="I126" s="61"/>
    </row>
    <row r="127" spans="1:10" ht="18.75" x14ac:dyDescent="0.3">
      <c r="A127" s="123"/>
      <c r="B127" s="123"/>
      <c r="C127" s="123"/>
      <c r="D127" s="123"/>
      <c r="E127" s="123"/>
      <c r="F127" s="64"/>
      <c r="G127" s="123"/>
      <c r="H127" s="123"/>
      <c r="I127" s="61"/>
    </row>
    <row r="128" spans="1:10" ht="18.75" x14ac:dyDescent="0.3">
      <c r="A128" s="123"/>
      <c r="B128" s="123"/>
      <c r="C128" s="123"/>
      <c r="D128" s="123"/>
      <c r="E128" s="123"/>
      <c r="F128" s="64"/>
      <c r="G128" s="123"/>
      <c r="H128" s="123"/>
      <c r="I128" s="61"/>
    </row>
    <row r="129" spans="1:9" ht="18.75" x14ac:dyDescent="0.3">
      <c r="A129" s="123"/>
      <c r="B129" s="123"/>
      <c r="C129" s="123"/>
      <c r="D129" s="123"/>
      <c r="E129" s="123"/>
      <c r="F129" s="64"/>
      <c r="G129" s="123"/>
      <c r="H129" s="123"/>
      <c r="I129" s="61"/>
    </row>
    <row r="130" spans="1:9" ht="18.75" x14ac:dyDescent="0.3">
      <c r="A130" s="123"/>
      <c r="B130" s="123"/>
      <c r="C130" s="123"/>
      <c r="D130" s="123"/>
      <c r="E130" s="123"/>
      <c r="F130" s="64"/>
      <c r="G130" s="123"/>
      <c r="H130" s="123"/>
      <c r="I130" s="61"/>
    </row>
    <row r="131" spans="1:9" ht="18.75" x14ac:dyDescent="0.3">
      <c r="A131" s="123"/>
      <c r="B131" s="123"/>
      <c r="C131" s="123"/>
      <c r="D131" s="123"/>
      <c r="E131" s="123"/>
      <c r="F131" s="64"/>
      <c r="G131" s="123"/>
      <c r="H131" s="123"/>
      <c r="I131" s="61"/>
    </row>
    <row r="132" spans="1:9" ht="18.75" x14ac:dyDescent="0.3">
      <c r="A132" s="123"/>
      <c r="B132" s="123"/>
      <c r="C132" s="123"/>
      <c r="D132" s="123"/>
      <c r="E132" s="123"/>
      <c r="F132" s="64"/>
      <c r="G132" s="123"/>
      <c r="H132" s="123"/>
      <c r="I132" s="61"/>
    </row>
    <row r="133" spans="1:9" ht="18.75" x14ac:dyDescent="0.3">
      <c r="A133" s="123"/>
      <c r="B133" s="123"/>
      <c r="C133" s="123"/>
      <c r="D133" s="123"/>
      <c r="E133" s="123"/>
      <c r="F133" s="64"/>
      <c r="G133" s="123"/>
      <c r="H133" s="123"/>
      <c r="I133" s="61"/>
    </row>
    <row r="250" spans="1:1" x14ac:dyDescent="0.3">
      <c r="A250" s="1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SST</vt:lpstr>
      <vt:lpstr>Uniformity</vt:lpstr>
      <vt:lpstr>ARTEMETHER</vt:lpstr>
      <vt:lpstr>LUMEFANTRINE</vt:lpstr>
      <vt:lpstr>ARTEMETHER!Print_Area</vt:lpstr>
      <vt:lpstr>LUMEFANTRINE!Print_Area</vt:lpstr>
      <vt:lpstr>SST!Print_Area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 probook</cp:lastModifiedBy>
  <cp:lastPrinted>2015-12-21T15:27:27Z</cp:lastPrinted>
  <dcterms:created xsi:type="dcterms:W3CDTF">2005-07-05T10:19:27Z</dcterms:created>
  <dcterms:modified xsi:type="dcterms:W3CDTF">2015-12-23T08:36:38Z</dcterms:modified>
  <cp:category/>
</cp:coreProperties>
</file>