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25" windowWidth="15015" windowHeight="7620" activeTab="6"/>
  </bookViews>
  <sheets>
    <sheet name="Uniformity" sheetId="23" r:id="rId1"/>
    <sheet name="SST TDF" sheetId="21" r:id="rId2"/>
    <sheet name="Tenofovir Disoproxil Fumarate" sheetId="18" r:id="rId3"/>
    <sheet name="SST lam" sheetId="17" r:id="rId4"/>
    <sheet name="Lamivudine" sheetId="19" r:id="rId5"/>
    <sheet name="SST Efav" sheetId="22" r:id="rId6"/>
    <sheet name="EFFAVIRENZ" sheetId="20" r:id="rId7"/>
  </sheets>
  <definedNames>
    <definedName name="_xlnm.Print_Area" localSheetId="6">EFFAVIRENZ!$A$1:$I$125</definedName>
    <definedName name="_xlnm.Print_Area" localSheetId="4">Lamivudine!$A$1:$H$126</definedName>
    <definedName name="_xlnm.Print_Area" localSheetId="2">'Tenofovir Disoproxil Fumarate'!$A$1:$H$126</definedName>
    <definedName name="_xlnm.Print_Area" localSheetId="0">Uniformity!$A$1:$F$54</definedName>
  </definedNames>
  <calcPr calcId="124519"/>
</workbook>
</file>

<file path=xl/calcChain.xml><?xml version="1.0" encoding="utf-8"?>
<calcChain xmlns="http://schemas.openxmlformats.org/spreadsheetml/2006/main">
  <c r="B57" i="20"/>
  <c r="B57" i="19"/>
  <c r="B57" i="18"/>
  <c r="C46" i="23"/>
  <c r="C50" s="1"/>
  <c r="C45"/>
  <c r="D29"/>
  <c r="D25"/>
  <c r="C19"/>
  <c r="D24" l="1"/>
  <c r="D28"/>
  <c r="D32"/>
  <c r="D36"/>
  <c r="D40"/>
  <c r="D49"/>
  <c r="D27"/>
  <c r="D31"/>
  <c r="D35"/>
  <c r="D39"/>
  <c r="D43"/>
  <c r="C49"/>
  <c r="D26"/>
  <c r="D30"/>
  <c r="D34"/>
  <c r="D38"/>
  <c r="D42"/>
  <c r="B49"/>
  <c r="D50"/>
  <c r="D33"/>
  <c r="D37"/>
  <c r="D41"/>
  <c r="B6" i="22" l="1"/>
  <c r="B8" i="17"/>
  <c r="B6" i="21"/>
  <c r="B27" i="22"/>
  <c r="B28" s="1"/>
  <c r="B19" i="20"/>
  <c r="B19" i="19"/>
  <c r="B23" i="20" l="1"/>
  <c r="B22"/>
  <c r="B23" i="19"/>
  <c r="B22"/>
  <c r="B27" i="21"/>
  <c r="B28" s="1"/>
  <c r="B7" i="22"/>
  <c r="B29" i="17"/>
  <c r="B30" s="1"/>
  <c r="B9"/>
  <c r="B25" i="21"/>
  <c r="B7"/>
  <c r="D68" i="19"/>
  <c r="D68" i="20" s="1"/>
  <c r="D64" i="19"/>
  <c r="D64" i="20" s="1"/>
  <c r="D60" i="19"/>
  <c r="D60" i="20" s="1"/>
  <c r="B39" i="22" l="1"/>
  <c r="E37"/>
  <c r="D37"/>
  <c r="C37"/>
  <c r="B37"/>
  <c r="B38" s="1"/>
  <c r="B18"/>
  <c r="E16"/>
  <c r="D16"/>
  <c r="C16"/>
  <c r="B16"/>
  <c r="B17" s="1"/>
  <c r="B39" i="21"/>
  <c r="E37"/>
  <c r="D37"/>
  <c r="C37"/>
  <c r="B37"/>
  <c r="B38" s="1"/>
  <c r="B18"/>
  <c r="E16"/>
  <c r="D16"/>
  <c r="C16"/>
  <c r="B16"/>
  <c r="B17" s="1"/>
  <c r="C120" i="20"/>
  <c r="B116"/>
  <c r="D100"/>
  <c r="B98"/>
  <c r="D101" s="1"/>
  <c r="F95"/>
  <c r="D95"/>
  <c r="I92" s="1"/>
  <c r="G94"/>
  <c r="E94"/>
  <c r="B87"/>
  <c r="F97" s="1"/>
  <c r="F98" s="1"/>
  <c r="B81"/>
  <c r="B83" s="1"/>
  <c r="B80"/>
  <c r="B79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B30"/>
  <c r="C120" i="19"/>
  <c r="B116"/>
  <c r="D100"/>
  <c r="B98"/>
  <c r="F95"/>
  <c r="D95"/>
  <c r="G94"/>
  <c r="E94"/>
  <c r="I92"/>
  <c r="B87"/>
  <c r="F97" s="1"/>
  <c r="B83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F45" s="1"/>
  <c r="B30"/>
  <c r="C120" i="18"/>
  <c r="B116"/>
  <c r="D100"/>
  <c r="D101" s="1"/>
  <c r="B98"/>
  <c r="F95"/>
  <c r="D95"/>
  <c r="I92" s="1"/>
  <c r="G94"/>
  <c r="E94"/>
  <c r="B87"/>
  <c r="F97" s="1"/>
  <c r="F98" s="1"/>
  <c r="B81"/>
  <c r="B83" s="1"/>
  <c r="B80"/>
  <c r="B79"/>
  <c r="C76"/>
  <c r="H71"/>
  <c r="G71"/>
  <c r="B68"/>
  <c r="H67"/>
  <c r="G67"/>
  <c r="H63"/>
  <c r="G63"/>
  <c r="B69"/>
  <c r="C56"/>
  <c r="B55"/>
  <c r="B45"/>
  <c r="D48" s="1"/>
  <c r="F42"/>
  <c r="D42"/>
  <c r="G41"/>
  <c r="E41"/>
  <c r="B34"/>
  <c r="F44" s="1"/>
  <c r="F45" s="1"/>
  <c r="F46" s="1"/>
  <c r="B30"/>
  <c r="B41" i="17"/>
  <c r="E39"/>
  <c r="D39"/>
  <c r="C39"/>
  <c r="B39"/>
  <c r="B40" s="1"/>
  <c r="B20"/>
  <c r="E18"/>
  <c r="D18"/>
  <c r="C18"/>
  <c r="B18"/>
  <c r="B19" s="1"/>
  <c r="F99" i="20" l="1"/>
  <c r="D101" i="19"/>
  <c r="G92" s="1"/>
  <c r="F99" i="18"/>
  <c r="I39" i="20"/>
  <c r="I39" i="19"/>
  <c r="F46" i="20"/>
  <c r="F46" i="19"/>
  <c r="I39" i="18"/>
  <c r="D102" i="19"/>
  <c r="G92" i="18"/>
  <c r="D102"/>
  <c r="G93"/>
  <c r="G91"/>
  <c r="F98" i="19"/>
  <c r="F99" s="1"/>
  <c r="G39" i="20"/>
  <c r="G40"/>
  <c r="D49"/>
  <c r="G38"/>
  <c r="G39" i="19"/>
  <c r="G40"/>
  <c r="D49"/>
  <c r="G38"/>
  <c r="G92" i="20"/>
  <c r="D102"/>
  <c r="G93"/>
  <c r="G91"/>
  <c r="G95" s="1"/>
  <c r="G39" i="18"/>
  <c r="G40"/>
  <c r="D49"/>
  <c r="G38"/>
  <c r="D97"/>
  <c r="D98" s="1"/>
  <c r="D99" s="1"/>
  <c r="D97" i="19"/>
  <c r="D98" s="1"/>
  <c r="D99" s="1"/>
  <c r="D97" i="20"/>
  <c r="D98" s="1"/>
  <c r="D99" s="1"/>
  <c r="D44" i="18"/>
  <c r="D45" s="1"/>
  <c r="D46" s="1"/>
  <c r="D44" i="19"/>
  <c r="D45" s="1"/>
  <c r="D46" s="1"/>
  <c r="D44" i="20"/>
  <c r="D45" s="1"/>
  <c r="D46" s="1"/>
  <c r="E92" l="1"/>
  <c r="G95" i="18"/>
  <c r="E93" i="19"/>
  <c r="G93"/>
  <c r="E39" i="20"/>
  <c r="E38"/>
  <c r="G42" i="19"/>
  <c r="G42" i="18"/>
  <c r="E91" i="20"/>
  <c r="E40"/>
  <c r="E92" i="18"/>
  <c r="E91"/>
  <c r="E38"/>
  <c r="E39"/>
  <c r="E93" i="20"/>
  <c r="E40" i="19"/>
  <c r="G91"/>
  <c r="E40" i="18"/>
  <c r="E38" i="19"/>
  <c r="E39"/>
  <c r="G42" i="20"/>
  <c r="E93" i="18"/>
  <c r="E92" i="19"/>
  <c r="E91"/>
  <c r="G95" l="1"/>
  <c r="E42" i="20"/>
  <c r="D50"/>
  <c r="G65" s="1"/>
  <c r="H65" s="1"/>
  <c r="D52"/>
  <c r="D103" i="18"/>
  <c r="E95"/>
  <c r="D105"/>
  <c r="D50" i="19"/>
  <c r="E42"/>
  <c r="D52"/>
  <c r="D103"/>
  <c r="E95"/>
  <c r="D105"/>
  <c r="G70" i="20"/>
  <c r="H70" s="1"/>
  <c r="G61"/>
  <c r="H61" s="1"/>
  <c r="D50" i="18"/>
  <c r="E42"/>
  <c r="D52"/>
  <c r="D103" i="20"/>
  <c r="E95"/>
  <c r="D105"/>
  <c r="G66" l="1"/>
  <c r="H66" s="1"/>
  <c r="G64"/>
  <c r="H64" s="1"/>
  <c r="G62"/>
  <c r="H62" s="1"/>
  <c r="G68"/>
  <c r="H68" s="1"/>
  <c r="G60"/>
  <c r="H60" s="1"/>
  <c r="G69"/>
  <c r="H69" s="1"/>
  <c r="D51"/>
  <c r="E113"/>
  <c r="F113" s="1"/>
  <c r="E111"/>
  <c r="F111" s="1"/>
  <c r="E109"/>
  <c r="F109" s="1"/>
  <c r="D104"/>
  <c r="E112"/>
  <c r="F112" s="1"/>
  <c r="E110"/>
  <c r="F110" s="1"/>
  <c r="E108"/>
  <c r="E113" i="19"/>
  <c r="F113" s="1"/>
  <c r="E111"/>
  <c r="F111" s="1"/>
  <c r="E109"/>
  <c r="F109" s="1"/>
  <c r="D104"/>
  <c r="E112"/>
  <c r="F112" s="1"/>
  <c r="E110"/>
  <c r="F110" s="1"/>
  <c r="E108"/>
  <c r="E113" i="18"/>
  <c r="F113" s="1"/>
  <c r="E111"/>
  <c r="F111" s="1"/>
  <c r="E109"/>
  <c r="F109" s="1"/>
  <c r="D104"/>
  <c r="E112"/>
  <c r="F112" s="1"/>
  <c r="E110"/>
  <c r="F110" s="1"/>
  <c r="E108"/>
  <c r="D51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D51" i="19"/>
  <c r="G70"/>
  <c r="H70" s="1"/>
  <c r="G65"/>
  <c r="H65" s="1"/>
  <c r="G61"/>
  <c r="H61" s="1"/>
  <c r="G68"/>
  <c r="H68" s="1"/>
  <c r="G69"/>
  <c r="H69" s="1"/>
  <c r="G66"/>
  <c r="H66" s="1"/>
  <c r="G64"/>
  <c r="H64" s="1"/>
  <c r="G62"/>
  <c r="H62" s="1"/>
  <c r="G60"/>
  <c r="G74" i="20" l="1"/>
  <c r="G72"/>
  <c r="G73" s="1"/>
  <c r="G74" i="19"/>
  <c r="G72"/>
  <c r="G73" s="1"/>
  <c r="H60"/>
  <c r="E117" i="18"/>
  <c r="F108"/>
  <c r="E115"/>
  <c r="E116" s="1"/>
  <c r="G74"/>
  <c r="G72"/>
  <c r="G73" s="1"/>
  <c r="H60"/>
  <c r="H74" i="20"/>
  <c r="H72"/>
  <c r="E117"/>
  <c r="F108"/>
  <c r="E115"/>
  <c r="E116" s="1"/>
  <c r="E117" i="19"/>
  <c r="F108"/>
  <c r="E115"/>
  <c r="E116" s="1"/>
  <c r="F117" l="1"/>
  <c r="F115"/>
  <c r="G76" i="20"/>
  <c r="H73"/>
  <c r="H74" i="19"/>
  <c r="H72"/>
  <c r="F117" i="20"/>
  <c r="F115"/>
  <c r="H74" i="18"/>
  <c r="H72"/>
  <c r="F117"/>
  <c r="F115"/>
  <c r="G120" l="1"/>
  <c r="F116"/>
  <c r="G120" i="20"/>
  <c r="F116"/>
  <c r="G76" i="19"/>
  <c r="H73"/>
  <c r="G120"/>
  <c r="F116"/>
  <c r="G76" i="18"/>
  <c r="H73"/>
</calcChain>
</file>

<file path=xl/sharedStrings.xml><?xml version="1.0" encoding="utf-8"?>
<sst xmlns="http://schemas.openxmlformats.org/spreadsheetml/2006/main" count="642" uniqueCount="136">
  <si>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</si>
  <si>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</si>
  <si>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</si>
  <si>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</si>
  <si>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</si>
  <si>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</si>
  <si>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</si>
  <si>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</si>
  <si>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</si>
  <si>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</si>
  <si>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</si>
  <si>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</si>
  <si>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</si>
  <si>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</si>
  <si>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</si>
  <si>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</si>
  <si>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</si>
  <si>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</si>
  <si>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</si>
  <si>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</si>
  <si>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</si>
  <si>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</si>
  <si>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</si>
  <si>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</si>
  <si>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</si>
  <si>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</si>
  <si>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</si>
  <si>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</si>
  <si>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</si>
  <si>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</si>
  <si>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</si>
  <si>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</si>
  <si>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</si>
  <si>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</si>
  <si>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</si>
  <si>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</si>
  <si>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</si>
  <si>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</si>
  <si>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</si>
  <si>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</si>
  <si>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</si>
  <si>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</si>
  <si>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</si>
  <si>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</si>
  <si>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</si>
  <si>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</si>
  <si>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</si>
  <si>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</si>
  <si>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</si>
  <si>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</si>
  <si>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</si>
  <si>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</si>
  <si>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</si>
  <si>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</si>
  <si>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</si>
  <si>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</si>
  <si>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</si>
  <si>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</si>
  <si>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</si>
  <si>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</si>
  <si>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</si>
  <si>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</si>
  <si>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</si>
  <si>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</si>
  <si>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</si>
  <si>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</si>
  <si>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</si>
  <si>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</si>
  <si>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</si>
  <si>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</si>
  <si>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</si>
  <si>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</si>
  <si>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</si>
  <si>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</si>
  <si>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</si>
  <si>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</si>
  <si>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</si>
  <si>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</si>
  <si>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</si>
  <si>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</si>
  <si>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</si>
  <si>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</si>
  <si>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</si>
  <si>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</si>
  <si>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</si>
  <si>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</si>
  <si>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</si>
  <si>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</si>
  <si>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</si>
  <si>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</si>
  <si>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</si>
  <si>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</si>
  <si>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</si>
  <si>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</si>
  <si>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</si>
  <si>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</si>
  <si>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</si>
  <si>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</si>
  <si>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</si>
  <si>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</si>
  <si>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</si>
  <si>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</si>
  <si>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</si>
  <si>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</si>
  <si>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</si>
  <si>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</si>
  <si>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</si>
  <si>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</si>
  <si>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</si>
  <si>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</si>
  <si>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</si>
  <si>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</si>
  <si>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</si>
  <si>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</si>
  <si>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</si>
  <si>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</si>
  <si>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</si>
  <si>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</si>
  <si>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</si>
  <si>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</si>
  <si>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</si>
  <si>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</si>
  <si>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</si>
  <si>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</si>
  <si>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</si>
  <si>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</si>
  <si>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</si>
  <si>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</si>
  <si>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Efavirenz</t>
  </si>
  <si>
    <t>Tenofovir DF</t>
  </si>
  <si>
    <t>L3-10</t>
  </si>
  <si>
    <t>E15-3</t>
  </si>
  <si>
    <t>NDQB201607043</t>
  </si>
  <si>
    <t>Tenofovir Disoproxil Fumarate, Lamivudine, Efavirenz</t>
  </si>
  <si>
    <t>Each film coated tablets contain Tenofovir Disoproxil Fumarate 3oo mg, lamivudine USP 300 mg, Efavirenz 300 mg</t>
  </si>
  <si>
    <t>2016-07-26 15:11:52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</si>
</sst>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3" fillId="2" borderId="0"/>
    <xf numFmtId="0" fontId="21" fillId="2" borderId="0"/>
    <xf numFmtId="0" fontId="21" fillId="2" borderId="0"/>
    <xf numFmtId="0" fontId="21" fillId="2" borderId="0"/>
  </cellStyleXfs>
  <cellXfs count="816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0" xfId="3" applyFont="1" applyFill="1"/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2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2" fillId="2" borderId="0" xfId="6" applyFont="1" applyFill="1"/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22" fontId="6" fillId="2" borderId="0" xfId="6" applyNumberFormat="1" applyFont="1" applyFill="1"/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22" fillId="2" borderId="0" xfId="6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5" fillId="2" borderId="0" xfId="6" applyFont="1" applyFill="1" applyAlignment="1">
      <alignment horizontal="center" vertical="top"/>
    </xf>
    <xf numFmtId="2" fontId="5" fillId="2" borderId="0" xfId="6" applyNumberFormat="1" applyFont="1" applyFill="1" applyAlignment="1">
      <alignment horizontal="left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  <xf numFmtId="0" fontId="24" fillId="2" borderId="0" xfId="7" applyFont="1" applyFill="1"/>
    <xf numFmtId="0" fontId="25" fillId="2" borderId="18" xfId="7" applyFont="1" applyFill="1" applyBorder="1" applyAlignment="1">
      <alignment horizontal="center" wrapText="1"/>
    </xf>
    <xf numFmtId="0" fontId="25" fillId="2" borderId="19" xfId="7" applyFont="1" applyFill="1" applyBorder="1" applyAlignment="1">
      <alignment horizontal="center" wrapText="1"/>
    </xf>
    <xf numFmtId="0" fontId="25" fillId="2" borderId="20" xfId="7" applyFont="1" applyFill="1" applyBorder="1" applyAlignment="1">
      <alignment horizontal="center" wrapText="1"/>
    </xf>
    <xf numFmtId="0" fontId="25" fillId="2" borderId="0" xfId="7" applyFont="1" applyFill="1" applyAlignment="1">
      <alignment wrapText="1"/>
    </xf>
    <xf numFmtId="0" fontId="26" fillId="2" borderId="0" xfId="7" applyFont="1" applyFill="1" applyAlignment="1">
      <alignment horizontal="center"/>
    </xf>
    <xf numFmtId="0" fontId="26" fillId="2" borderId="0" xfId="7" applyFont="1" applyFill="1"/>
    <xf numFmtId="0" fontId="27" fillId="2" borderId="0" xfId="7" applyFont="1" applyFill="1" applyAlignment="1">
      <alignment horizontal="right"/>
    </xf>
    <xf numFmtId="0" fontId="28" fillId="2" borderId="0" xfId="7" applyFont="1" applyFill="1"/>
    <xf numFmtId="167" fontId="28" fillId="2" borderId="0" xfId="7" applyNumberFormat="1" applyFont="1" applyFill="1" applyAlignment="1">
      <alignment horizontal="center"/>
    </xf>
    <xf numFmtId="0" fontId="27" fillId="2" borderId="0" xfId="7" applyFont="1" applyFill="1" applyAlignment="1">
      <alignment horizontal="right"/>
    </xf>
    <xf numFmtId="167" fontId="28" fillId="2" borderId="0" xfId="7" applyNumberFormat="1" applyFont="1" applyFill="1"/>
    <xf numFmtId="0" fontId="26" fillId="2" borderId="0" xfId="7" applyFont="1" applyFill="1" applyAlignment="1">
      <alignment horizontal="left"/>
    </xf>
    <xf numFmtId="0" fontId="29" fillId="2" borderId="0" xfId="7" applyFont="1" applyFill="1"/>
    <xf numFmtId="164" fontId="24" fillId="2" borderId="0" xfId="7" applyNumberFormat="1" applyFont="1" applyFill="1" applyAlignment="1">
      <alignment horizontal="center"/>
    </xf>
    <xf numFmtId="164" fontId="24" fillId="2" borderId="0" xfId="7" applyNumberFormat="1" applyFont="1" applyFill="1"/>
    <xf numFmtId="164" fontId="27" fillId="2" borderId="12" xfId="7" applyNumberFormat="1" applyFont="1" applyFill="1" applyBorder="1" applyAlignment="1">
      <alignment horizontal="center" wrapText="1"/>
    </xf>
    <xf numFmtId="0" fontId="27" fillId="2" borderId="12" xfId="7" applyFont="1" applyFill="1" applyBorder="1" applyAlignment="1">
      <alignment horizontal="center" wrapText="1"/>
    </xf>
    <xf numFmtId="0" fontId="30" fillId="2" borderId="0" xfId="7" applyFont="1" applyFill="1" applyAlignment="1">
      <alignment horizontal="center"/>
    </xf>
    <xf numFmtId="2" fontId="28" fillId="3" borderId="14" xfId="7" applyNumberFormat="1" applyFont="1" applyFill="1" applyBorder="1" applyProtection="1">
      <protection locked="0"/>
    </xf>
    <xf numFmtId="10" fontId="28" fillId="2" borderId="13" xfId="7" applyNumberFormat="1" applyFont="1" applyFill="1" applyBorder="1" applyAlignment="1">
      <alignment horizontal="center"/>
    </xf>
    <xf numFmtId="10" fontId="28" fillId="2" borderId="0" xfId="7" applyNumberFormat="1" applyFont="1" applyFill="1" applyAlignment="1">
      <alignment horizontal="center"/>
    </xf>
    <xf numFmtId="10" fontId="28" fillId="2" borderId="14" xfId="7" applyNumberFormat="1" applyFont="1" applyFill="1" applyBorder="1" applyAlignment="1">
      <alignment horizontal="center"/>
    </xf>
    <xf numFmtId="2" fontId="28" fillId="3" borderId="15" xfId="7" applyNumberFormat="1" applyFont="1" applyFill="1" applyBorder="1" applyProtection="1">
      <protection locked="0"/>
    </xf>
    <xf numFmtId="10" fontId="28" fillId="2" borderId="15" xfId="7" applyNumberFormat="1" applyFont="1" applyFill="1" applyBorder="1" applyAlignment="1">
      <alignment horizontal="center"/>
    </xf>
    <xf numFmtId="166" fontId="30" fillId="2" borderId="0" xfId="7" applyNumberFormat="1" applyFont="1" applyFill="1" applyAlignment="1">
      <alignment horizontal="center"/>
    </xf>
    <xf numFmtId="10" fontId="30" fillId="2" borderId="0" xfId="7" applyNumberFormat="1" applyFont="1" applyFill="1" applyAlignment="1">
      <alignment horizontal="center"/>
    </xf>
    <xf numFmtId="0" fontId="28" fillId="2" borderId="12" xfId="7" applyFont="1" applyFill="1" applyBorder="1" applyAlignment="1">
      <alignment horizontal="right" vertical="center"/>
    </xf>
    <xf numFmtId="166" fontId="28" fillId="2" borderId="12" xfId="7" applyNumberFormat="1" applyFont="1" applyFill="1" applyBorder="1" applyAlignment="1">
      <alignment horizontal="center" vertical="center"/>
    </xf>
    <xf numFmtId="166" fontId="28" fillId="2" borderId="0" xfId="7" applyNumberFormat="1" applyFont="1" applyFill="1" applyAlignment="1">
      <alignment horizontal="center"/>
    </xf>
    <xf numFmtId="164" fontId="27" fillId="2" borderId="12" xfId="7" applyNumberFormat="1" applyFont="1" applyFill="1" applyBorder="1" applyAlignment="1">
      <alignment horizontal="center" vertical="center"/>
    </xf>
    <xf numFmtId="2" fontId="31" fillId="2" borderId="0" xfId="7" applyNumberFormat="1" applyFont="1" applyFill="1" applyAlignment="1">
      <alignment horizontal="right"/>
    </xf>
    <xf numFmtId="2" fontId="27" fillId="2" borderId="0" xfId="7" applyNumberFormat="1" applyFont="1" applyFill="1"/>
    <xf numFmtId="2" fontId="31" fillId="2" borderId="0" xfId="7" applyNumberFormat="1" applyFont="1" applyFill="1"/>
    <xf numFmtId="0" fontId="27" fillId="2" borderId="12" xfId="7" applyFont="1" applyFill="1" applyBorder="1" applyAlignment="1">
      <alignment horizontal="center" vertical="center"/>
    </xf>
    <xf numFmtId="10" fontId="30" fillId="2" borderId="0" xfId="7" applyNumberFormat="1" applyFont="1" applyFill="1"/>
    <xf numFmtId="166" fontId="27" fillId="2" borderId="13" xfId="7" applyNumberFormat="1" applyFont="1" applyFill="1" applyBorder="1" applyAlignment="1">
      <alignment horizontal="center" vertical="center"/>
    </xf>
    <xf numFmtId="165" fontId="27" fillId="2" borderId="16" xfId="7" applyNumberFormat="1" applyFont="1" applyFill="1" applyBorder="1" applyAlignment="1">
      <alignment horizontal="center"/>
    </xf>
    <xf numFmtId="2" fontId="27" fillId="2" borderId="12" xfId="7" applyNumberFormat="1" applyFont="1" applyFill="1" applyBorder="1" applyAlignment="1">
      <alignment horizontal="center" vertical="center"/>
    </xf>
    <xf numFmtId="166" fontId="27" fillId="2" borderId="15" xfId="7" applyNumberFormat="1" applyFont="1" applyFill="1" applyBorder="1" applyAlignment="1">
      <alignment horizontal="center" vertical="center"/>
    </xf>
    <xf numFmtId="165" fontId="27" fillId="2" borderId="17" xfId="7" applyNumberFormat="1" applyFont="1" applyFill="1" applyBorder="1" applyAlignment="1">
      <alignment horizontal="center"/>
    </xf>
    <xf numFmtId="0" fontId="28" fillId="2" borderId="9" xfId="7" applyFont="1" applyFill="1" applyBorder="1"/>
    <xf numFmtId="0" fontId="28" fillId="2" borderId="0" xfId="7" applyFont="1" applyFill="1" applyAlignment="1">
      <alignment horizontal="center"/>
    </xf>
    <xf numFmtId="10" fontId="28" fillId="2" borderId="9" xfId="7" applyNumberFormat="1" applyFont="1" applyFill="1" applyBorder="1"/>
    <xf numFmtId="0" fontId="27" fillId="2" borderId="10" xfId="7" applyFont="1" applyFill="1" applyBorder="1"/>
    <xf numFmtId="0" fontId="27" fillId="2" borderId="10" xfId="7" applyFont="1" applyFill="1" applyBorder="1" applyAlignment="1">
      <alignment horizontal="center"/>
    </xf>
    <xf numFmtId="0" fontId="28" fillId="2" borderId="10" xfId="7" applyFont="1" applyFill="1" applyBorder="1" applyAlignment="1">
      <alignment horizontal="center"/>
    </xf>
    <xf numFmtId="0" fontId="28" fillId="2" borderId="7" xfId="7" applyFont="1" applyFill="1" applyBorder="1"/>
    <xf numFmtId="0" fontId="27" fillId="2" borderId="11" xfId="7" applyFont="1" applyFill="1" applyBorder="1"/>
    <xf numFmtId="0" fontId="27" fillId="2" borderId="0" xfId="7" applyFont="1" applyFill="1"/>
    <xf numFmtId="0" fontId="28" fillId="2" borderId="11" xfId="7" applyFont="1" applyFill="1" applyBorder="1"/>
    <xf numFmtId="0" fontId="0" fillId="2" borderId="0" xfId="7" applyFont="1" applyFill="1"/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</cellXfs>
  <cellStyles count="11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8" workbookViewId="0">
      <selection activeCell="D44" sqref="D44"/>
    </sheetView>
  </sheetViews>
  <sheetFormatPr defaultRowHeight="15"/>
  <cols>
    <col min="1" max="1" width="15.5703125" style="749" customWidth="1"/>
    <col min="2" max="2" width="18.42578125" style="749" customWidth="1"/>
    <col min="3" max="3" width="14.28515625" style="749" customWidth="1"/>
    <col min="4" max="4" width="15" style="749" customWidth="1"/>
    <col min="5" max="5" width="9.140625" style="749" customWidth="1"/>
    <col min="6" max="6" width="27.85546875" style="749" customWidth="1"/>
    <col min="7" max="7" width="12.28515625" style="749" customWidth="1"/>
    <col min="8" max="8" width="9.140625" style="749" customWidth="1"/>
    <col min="9" max="16384" width="9.140625" style="800"/>
  </cols>
  <sheetData>
    <row r="10" spans="1:7" ht="13.5" customHeight="1" thickBot="1"/>
    <row r="11" spans="1:7" ht="13.5" customHeight="1" thickBot="1">
      <c r="A11" s="750" t="s">
        <v>28</v>
      </c>
      <c r="B11" s="751"/>
      <c r="C11" s="751"/>
      <c r="D11" s="751"/>
      <c r="E11" s="751"/>
      <c r="F11" s="752"/>
      <c r="G11" s="753"/>
    </row>
    <row r="12" spans="1:7" ht="16.5" customHeight="1">
      <c r="A12" s="754" t="s">
        <v>29</v>
      </c>
      <c r="B12" s="754"/>
      <c r="C12" s="754"/>
      <c r="D12" s="754"/>
      <c r="E12" s="754"/>
      <c r="F12" s="754"/>
      <c r="G12" s="755"/>
    </row>
    <row r="14" spans="1:7" ht="16.5" customHeight="1">
      <c r="A14" s="756" t="s">
        <v>30</v>
      </c>
      <c r="B14" s="756"/>
      <c r="C14" s="757" t="s">
        <v>5</v>
      </c>
    </row>
    <row r="15" spans="1:7" ht="16.5" customHeight="1">
      <c r="A15" s="756" t="s">
        <v>31</v>
      </c>
      <c r="B15" s="756"/>
      <c r="C15" s="757" t="s">
        <v>132</v>
      </c>
    </row>
    <row r="16" spans="1:7" ht="16.5" customHeight="1">
      <c r="A16" s="756" t="s">
        <v>32</v>
      </c>
      <c r="B16" s="756"/>
      <c r="C16" s="757" t="s">
        <v>133</v>
      </c>
    </row>
    <row r="17" spans="1:5" ht="16.5" customHeight="1">
      <c r="A17" s="756" t="s">
        <v>33</v>
      </c>
      <c r="B17" s="756"/>
      <c r="C17" s="757" t="s">
        <v>134</v>
      </c>
    </row>
    <row r="18" spans="1:5" ht="16.5" customHeight="1">
      <c r="A18" s="756" t="s">
        <v>34</v>
      </c>
      <c r="B18" s="756"/>
      <c r="C18" s="758" t="s">
        <v>135</v>
      </c>
    </row>
    <row r="19" spans="1:5" ht="16.5" customHeight="1">
      <c r="A19" s="756" t="s">
        <v>35</v>
      </c>
      <c r="B19" s="756"/>
      <c r="C19" s="758" t="e">
        <f>#REF!</f>
        <v>#REF!</v>
      </c>
    </row>
    <row r="20" spans="1:5" ht="16.5" customHeight="1">
      <c r="A20" s="759"/>
      <c r="B20" s="759"/>
      <c r="C20" s="760"/>
    </row>
    <row r="21" spans="1:5" ht="16.5" customHeight="1">
      <c r="A21" s="754" t="s">
        <v>1</v>
      </c>
      <c r="B21" s="754"/>
      <c r="C21" s="761" t="s">
        <v>36</v>
      </c>
      <c r="D21" s="762"/>
    </row>
    <row r="22" spans="1:5" ht="15.75" customHeight="1" thickBot="1">
      <c r="A22" s="763"/>
      <c r="B22" s="763"/>
      <c r="C22" s="764"/>
      <c r="D22" s="763"/>
      <c r="E22" s="763"/>
    </row>
    <row r="23" spans="1:5" ht="33.75" customHeight="1" thickBot="1">
      <c r="C23" s="765" t="s">
        <v>37</v>
      </c>
      <c r="D23" s="766" t="s">
        <v>38</v>
      </c>
      <c r="E23" s="767"/>
    </row>
    <row r="24" spans="1:5" ht="15.75" customHeight="1">
      <c r="C24" s="768">
        <v>1880</v>
      </c>
      <c r="D24" s="769">
        <f t="shared" ref="D24:D43" si="0">(C24-$C$46)/$C$46</f>
        <v>-5.5688146380271789E-3</v>
      </c>
      <c r="E24" s="770"/>
    </row>
    <row r="25" spans="1:5" ht="15.75" customHeight="1">
      <c r="C25" s="768">
        <v>1884.67</v>
      </c>
      <c r="D25" s="771">
        <f t="shared" si="0"/>
        <v>-3.0986052573673461E-3</v>
      </c>
      <c r="E25" s="770"/>
    </row>
    <row r="26" spans="1:5" ht="15.75" customHeight="1">
      <c r="C26" s="768">
        <v>1915.39</v>
      </c>
      <c r="D26" s="771">
        <f t="shared" si="0"/>
        <v>1.3150823473653841E-2</v>
      </c>
      <c r="E26" s="770"/>
    </row>
    <row r="27" spans="1:5" ht="15.75" customHeight="1">
      <c r="C27" s="768">
        <v>1881.44</v>
      </c>
      <c r="D27" s="771">
        <f t="shared" si="0"/>
        <v>-4.8071226662605325E-3</v>
      </c>
      <c r="E27" s="770"/>
    </row>
    <row r="28" spans="1:5" ht="15.75" customHeight="1">
      <c r="C28" s="768">
        <v>1888.47</v>
      </c>
      <c r="D28" s="771">
        <f t="shared" si="0"/>
        <v>-1.0885847763165738E-3</v>
      </c>
      <c r="E28" s="770"/>
    </row>
    <row r="29" spans="1:5" ht="15.75" customHeight="1">
      <c r="C29" s="768">
        <v>1906.3</v>
      </c>
      <c r="D29" s="771">
        <f t="shared" si="0"/>
        <v>8.3426429018769923E-3</v>
      </c>
      <c r="E29" s="770"/>
    </row>
    <row r="30" spans="1:5" ht="15.75" customHeight="1">
      <c r="C30" s="768">
        <v>1910.29</v>
      </c>
      <c r="D30" s="771">
        <f t="shared" si="0"/>
        <v>1.0453164406980332E-2</v>
      </c>
      <c r="E30" s="770"/>
    </row>
    <row r="31" spans="1:5" ht="15.75" customHeight="1">
      <c r="C31" s="768">
        <v>1860.6</v>
      </c>
      <c r="D31" s="771">
        <f t="shared" si="0"/>
        <v>-1.5830498146549712E-2</v>
      </c>
      <c r="E31" s="770"/>
    </row>
    <row r="32" spans="1:5" ht="15.75" customHeight="1">
      <c r="C32" s="768">
        <v>1859.26</v>
      </c>
      <c r="D32" s="771">
        <f t="shared" si="0"/>
        <v>-1.653929484249916E-2</v>
      </c>
      <c r="E32" s="770"/>
    </row>
    <row r="33" spans="1:7" ht="15.75" customHeight="1">
      <c r="C33" s="768">
        <v>1881.23</v>
      </c>
      <c r="D33" s="771">
        <f t="shared" si="0"/>
        <v>-4.9182027454765164E-3</v>
      </c>
      <c r="E33" s="770"/>
    </row>
    <row r="34" spans="1:7" ht="15.75" customHeight="1">
      <c r="C34" s="768">
        <v>1927.74</v>
      </c>
      <c r="D34" s="771">
        <f t="shared" si="0"/>
        <v>1.9683390037068881E-2</v>
      </c>
      <c r="E34" s="770"/>
    </row>
    <row r="35" spans="1:7" ht="15.75" customHeight="1">
      <c r="C35" s="768">
        <v>1894.1</v>
      </c>
      <c r="D35" s="771">
        <f t="shared" si="0"/>
        <v>1.8894192521875695E-3</v>
      </c>
      <c r="E35" s="770"/>
    </row>
    <row r="36" spans="1:7" ht="15.75" customHeight="1">
      <c r="C36" s="768">
        <v>1899.85</v>
      </c>
      <c r="D36" s="771">
        <f t="shared" si="0"/>
        <v>4.9308976116723266E-3</v>
      </c>
      <c r="E36" s="770"/>
    </row>
    <row r="37" spans="1:7" ht="15.75" customHeight="1">
      <c r="C37" s="768">
        <v>1864.81</v>
      </c>
      <c r="D37" s="771">
        <f t="shared" si="0"/>
        <v>-1.360360703464868E-2</v>
      </c>
      <c r="E37" s="770"/>
    </row>
    <row r="38" spans="1:7" ht="15.75" customHeight="1">
      <c r="C38" s="768">
        <v>1859.38</v>
      </c>
      <c r="D38" s="771">
        <f t="shared" si="0"/>
        <v>-1.6475820511518545E-2</v>
      </c>
      <c r="E38" s="770"/>
    </row>
    <row r="39" spans="1:7" ht="15.75" customHeight="1">
      <c r="C39" s="768">
        <v>1910.53</v>
      </c>
      <c r="D39" s="771">
        <f t="shared" si="0"/>
        <v>1.058011306894144E-2</v>
      </c>
      <c r="E39" s="770"/>
    </row>
    <row r="40" spans="1:7" ht="15.75" customHeight="1">
      <c r="C40" s="768">
        <v>1896.48</v>
      </c>
      <c r="D40" s="771">
        <f t="shared" si="0"/>
        <v>3.1483268166352311E-3</v>
      </c>
      <c r="E40" s="770"/>
    </row>
    <row r="41" spans="1:7" ht="15.75" customHeight="1">
      <c r="C41" s="768">
        <v>1916.81</v>
      </c>
      <c r="D41" s="771">
        <f t="shared" si="0"/>
        <v>1.3901936390256952E-2</v>
      </c>
      <c r="E41" s="770"/>
    </row>
    <row r="42" spans="1:7" ht="15.75" customHeight="1">
      <c r="C42" s="768">
        <v>1873.23</v>
      </c>
      <c r="D42" s="771">
        <f t="shared" si="0"/>
        <v>-9.1498248108466129E-3</v>
      </c>
      <c r="E42" s="770"/>
    </row>
    <row r="43" spans="1:7" ht="16.5" customHeight="1" thickBot="1">
      <c r="C43" s="772">
        <v>1899.98</v>
      </c>
      <c r="D43" s="773">
        <f t="shared" si="0"/>
        <v>4.9996614702346488E-3</v>
      </c>
      <c r="E43" s="770"/>
    </row>
    <row r="44" spans="1:7" ht="16.5" customHeight="1" thickBot="1">
      <c r="C44" s="774"/>
      <c r="D44" s="770"/>
      <c r="E44" s="775"/>
    </row>
    <row r="45" spans="1:7" ht="16.5" customHeight="1" thickBot="1">
      <c r="B45" s="776" t="s">
        <v>39</v>
      </c>
      <c r="C45" s="777">
        <f>SUM(C24:C44)</f>
        <v>37810.560000000005</v>
      </c>
      <c r="D45" s="778"/>
      <c r="E45" s="774"/>
    </row>
    <row r="46" spans="1:7" ht="17.25" customHeight="1" thickBot="1">
      <c r="B46" s="776" t="s">
        <v>40</v>
      </c>
      <c r="C46" s="779">
        <f>AVERAGE(C24:C44)</f>
        <v>1890.5280000000002</v>
      </c>
      <c r="E46" s="780"/>
    </row>
    <row r="47" spans="1:7" ht="17.25" customHeight="1" thickBot="1">
      <c r="A47" s="757"/>
      <c r="B47" s="781"/>
      <c r="D47" s="782"/>
      <c r="E47" s="780"/>
    </row>
    <row r="48" spans="1:7" ht="33.75" customHeight="1" thickBot="1">
      <c r="B48" s="783" t="s">
        <v>40</v>
      </c>
      <c r="C48" s="766" t="s">
        <v>41</v>
      </c>
      <c r="D48" s="784"/>
      <c r="G48" s="782"/>
    </row>
    <row r="49" spans="1:6" ht="17.25" customHeight="1" thickBot="1">
      <c r="B49" s="785">
        <f>C46</f>
        <v>1890.5280000000002</v>
      </c>
      <c r="C49" s="786">
        <f>-IF(C46&lt;=80,10%,IF(C46&lt;250,7.5%,5%))</f>
        <v>-0.05</v>
      </c>
      <c r="D49" s="787">
        <f>IF(C46&lt;=80,C46*0.9,IF(C46&lt;250,C46*0.925,C46*0.95))</f>
        <v>1796.0016000000001</v>
      </c>
    </row>
    <row r="50" spans="1:6" ht="17.25" customHeight="1" thickBot="1">
      <c r="B50" s="788"/>
      <c r="C50" s="789">
        <f>IF(C46&lt;=80, 10%, IF(C46&lt;250, 7.5%, 5%))</f>
        <v>0.05</v>
      </c>
      <c r="D50" s="787">
        <f>IF(C46&lt;=80, C46*1.1, IF(C46&lt;250, C46*1.075, C46*1.05))</f>
        <v>1985.0544000000004</v>
      </c>
    </row>
    <row r="51" spans="1:6" ht="16.5" customHeight="1" thickBot="1">
      <c r="A51" s="790"/>
      <c r="B51" s="791"/>
      <c r="C51" s="757"/>
      <c r="D51" s="792"/>
      <c r="E51" s="757"/>
      <c r="F51" s="762"/>
    </row>
    <row r="52" spans="1:6" ht="16.5" customHeight="1">
      <c r="A52" s="757"/>
      <c r="B52" s="793" t="s">
        <v>23</v>
      </c>
      <c r="C52" s="793"/>
      <c r="D52" s="794" t="s">
        <v>24</v>
      </c>
      <c r="E52" s="795"/>
      <c r="F52" s="794" t="s">
        <v>25</v>
      </c>
    </row>
    <row r="53" spans="1:6" ht="34.5" customHeight="1">
      <c r="A53" s="759" t="s">
        <v>26</v>
      </c>
      <c r="B53" s="796"/>
      <c r="C53" s="757"/>
      <c r="D53" s="796"/>
      <c r="E53" s="757"/>
      <c r="F53" s="796"/>
    </row>
    <row r="54" spans="1:6" ht="34.5" customHeight="1">
      <c r="A54" s="759" t="s">
        <v>27</v>
      </c>
      <c r="B54" s="797"/>
      <c r="C54" s="798"/>
      <c r="D54" s="797"/>
      <c r="E54" s="757"/>
      <c r="F54" s="799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31" sqref="B31"/>
    </sheetView>
  </sheetViews>
  <sheetFormatPr defaultRowHeight="13.5"/>
  <cols>
    <col min="1" max="1" width="27.5703125" style="580" customWidth="1"/>
    <col min="2" max="2" width="20.42578125" style="580" customWidth="1"/>
    <col min="3" max="3" width="31.85546875" style="580" customWidth="1"/>
    <col min="4" max="4" width="25.85546875" style="580" customWidth="1"/>
    <col min="5" max="5" width="25.7109375" style="580" customWidth="1"/>
    <col min="6" max="6" width="23.140625" style="580" customWidth="1"/>
    <col min="7" max="7" width="28.42578125" style="580" customWidth="1"/>
    <col min="8" max="8" width="21.5703125" style="580" customWidth="1"/>
    <col min="9" max="9" width="9.140625" style="580" customWidth="1"/>
    <col min="10" max="16384" width="9.140625" style="616"/>
  </cols>
  <sheetData>
    <row r="1" spans="1:5" ht="18.75" customHeight="1">
      <c r="A1" s="626" t="s">
        <v>0</v>
      </c>
      <c r="B1" s="626"/>
      <c r="C1" s="626"/>
      <c r="D1" s="626"/>
      <c r="E1" s="626"/>
    </row>
    <row r="2" spans="1:5" ht="16.5" customHeight="1">
      <c r="A2" s="581" t="s">
        <v>1</v>
      </c>
      <c r="B2" s="582" t="s">
        <v>2</v>
      </c>
    </row>
    <row r="3" spans="1:5" ht="16.5" customHeight="1">
      <c r="A3" s="583" t="s">
        <v>3</v>
      </c>
      <c r="B3" s="583" t="s">
        <v>122</v>
      </c>
      <c r="D3" s="584"/>
      <c r="E3" s="585"/>
    </row>
    <row r="4" spans="1:5" ht="16.5" customHeight="1">
      <c r="A4" s="586" t="s">
        <v>4</v>
      </c>
      <c r="B4" s="587" t="s">
        <v>129</v>
      </c>
      <c r="C4" s="585"/>
      <c r="D4" s="585"/>
      <c r="E4" s="585"/>
    </row>
    <row r="5" spans="1:5" ht="16.5" customHeight="1">
      <c r="A5" s="586" t="s">
        <v>6</v>
      </c>
      <c r="B5" s="623">
        <v>98.8</v>
      </c>
      <c r="C5" s="585"/>
      <c r="D5" s="585"/>
      <c r="E5" s="585"/>
    </row>
    <row r="6" spans="1:5" ht="16.5" customHeight="1">
      <c r="A6" s="583" t="s">
        <v>7</v>
      </c>
      <c r="B6" s="587">
        <f>'Tenofovir Disoproxil Fumarate'!D43</f>
        <v>14.56</v>
      </c>
      <c r="C6" s="585"/>
      <c r="D6" s="585"/>
      <c r="E6" s="585"/>
    </row>
    <row r="7" spans="1:5" ht="16.5" customHeight="1">
      <c r="A7" s="583" t="s">
        <v>8</v>
      </c>
      <c r="B7" s="588">
        <f>B6/50*10/25</f>
        <v>0.11648</v>
      </c>
      <c r="C7" s="585"/>
      <c r="D7" s="585"/>
      <c r="E7" s="585"/>
    </row>
    <row r="8" spans="1:5" ht="15.75" customHeight="1">
      <c r="A8" s="585"/>
      <c r="B8" s="589"/>
      <c r="C8" s="585"/>
      <c r="D8" s="585"/>
      <c r="E8" s="585"/>
    </row>
    <row r="9" spans="1:5" ht="16.5" customHeight="1">
      <c r="A9" s="590" t="s">
        <v>10</v>
      </c>
      <c r="B9" s="591" t="s">
        <v>11</v>
      </c>
      <c r="C9" s="590" t="s">
        <v>12</v>
      </c>
      <c r="D9" s="590" t="s">
        <v>13</v>
      </c>
      <c r="E9" s="590" t="s">
        <v>14</v>
      </c>
    </row>
    <row r="10" spans="1:5" ht="16.5" customHeight="1">
      <c r="A10" s="592">
        <v>1</v>
      </c>
      <c r="B10" s="593">
        <v>22608947</v>
      </c>
      <c r="C10" s="593">
        <v>54667.7</v>
      </c>
      <c r="D10" s="594">
        <v>1.1000000000000001</v>
      </c>
      <c r="E10" s="595">
        <v>16.100000000000001</v>
      </c>
    </row>
    <row r="11" spans="1:5" ht="16.5" customHeight="1">
      <c r="A11" s="592">
        <v>2</v>
      </c>
      <c r="B11" s="593">
        <v>22699482</v>
      </c>
      <c r="C11" s="593">
        <v>54870.8</v>
      </c>
      <c r="D11" s="594">
        <v>1.1000000000000001</v>
      </c>
      <c r="E11" s="594">
        <v>16.100000000000001</v>
      </c>
    </row>
    <row r="12" spans="1:5" ht="16.5" customHeight="1">
      <c r="A12" s="592">
        <v>3</v>
      </c>
      <c r="B12" s="593">
        <v>22660600</v>
      </c>
      <c r="C12" s="593">
        <v>54780.5</v>
      </c>
      <c r="D12" s="594">
        <v>1.1000000000000001</v>
      </c>
      <c r="E12" s="594">
        <v>16.100000000000001</v>
      </c>
    </row>
    <row r="13" spans="1:5" ht="16.5" customHeight="1">
      <c r="A13" s="592">
        <v>4</v>
      </c>
      <c r="B13" s="593">
        <v>22528640</v>
      </c>
      <c r="C13" s="593">
        <v>54560.1</v>
      </c>
      <c r="D13" s="594">
        <v>1.1000000000000001</v>
      </c>
      <c r="E13" s="594">
        <v>16.100000000000001</v>
      </c>
    </row>
    <row r="14" spans="1:5" ht="16.5" customHeight="1">
      <c r="A14" s="592">
        <v>5</v>
      </c>
      <c r="B14" s="593">
        <v>22525469</v>
      </c>
      <c r="C14" s="593">
        <v>55340</v>
      </c>
      <c r="D14" s="594">
        <v>1.1000000000000001</v>
      </c>
      <c r="E14" s="594">
        <v>16.100000000000001</v>
      </c>
    </row>
    <row r="15" spans="1:5" ht="16.5" customHeight="1">
      <c r="A15" s="592">
        <v>6</v>
      </c>
      <c r="B15" s="596">
        <v>22499874</v>
      </c>
      <c r="C15" s="596">
        <v>55285</v>
      </c>
      <c r="D15" s="597">
        <v>1.1000000000000001</v>
      </c>
      <c r="E15" s="597">
        <v>16.100000000000001</v>
      </c>
    </row>
    <row r="16" spans="1:5" ht="16.5" customHeight="1">
      <c r="A16" s="598" t="s">
        <v>15</v>
      </c>
      <c r="B16" s="599">
        <f>AVERAGE(B10:B15)</f>
        <v>22587168.666666668</v>
      </c>
      <c r="C16" s="600">
        <f>AVERAGE(C10:C15)</f>
        <v>54917.35</v>
      </c>
      <c r="D16" s="601">
        <f>AVERAGE(D10:D15)</f>
        <v>1.0999999999999999</v>
      </c>
      <c r="E16" s="601">
        <f>AVERAGE(E10:E15)</f>
        <v>16.099999999999998</v>
      </c>
    </row>
    <row r="17" spans="1:5" ht="16.5" customHeight="1">
      <c r="A17" s="602" t="s">
        <v>16</v>
      </c>
      <c r="B17" s="603">
        <f>(STDEV(B10:B15)/B16)</f>
        <v>3.6148810596880331E-3</v>
      </c>
      <c r="C17" s="604"/>
      <c r="D17" s="604"/>
      <c r="E17" s="605"/>
    </row>
    <row r="18" spans="1:5" s="580" customFormat="1" ht="16.5" customHeight="1">
      <c r="A18" s="606" t="s">
        <v>17</v>
      </c>
      <c r="B18" s="607">
        <f>COUNT(B10:B15)</f>
        <v>6</v>
      </c>
      <c r="C18" s="608"/>
      <c r="D18" s="609"/>
      <c r="E18" s="610"/>
    </row>
    <row r="19" spans="1:5" s="580" customFormat="1" ht="15.75" customHeight="1">
      <c r="A19" s="585"/>
      <c r="B19" s="585"/>
      <c r="C19" s="585"/>
      <c r="D19" s="585"/>
      <c r="E19" s="585"/>
    </row>
    <row r="20" spans="1:5" s="580" customFormat="1" ht="16.5" customHeight="1">
      <c r="A20" s="586" t="s">
        <v>18</v>
      </c>
      <c r="B20" s="611" t="s">
        <v>19</v>
      </c>
      <c r="C20" s="612"/>
      <c r="D20" s="612"/>
      <c r="E20" s="612"/>
    </row>
    <row r="21" spans="1:5" ht="16.5" customHeight="1">
      <c r="A21" s="586"/>
      <c r="B21" s="611" t="s">
        <v>20</v>
      </c>
      <c r="C21" s="612"/>
      <c r="D21" s="612"/>
      <c r="E21" s="612"/>
    </row>
    <row r="22" spans="1:5" ht="16.5" customHeight="1">
      <c r="A22" s="586"/>
      <c r="B22" s="611" t="s">
        <v>21</v>
      </c>
      <c r="C22" s="612"/>
      <c r="D22" s="612"/>
      <c r="E22" s="612"/>
    </row>
    <row r="23" spans="1:5" ht="15.75" customHeight="1">
      <c r="A23" s="585"/>
      <c r="B23" s="585"/>
      <c r="C23" s="585"/>
      <c r="D23" s="585"/>
      <c r="E23" s="585"/>
    </row>
    <row r="24" spans="1:5" ht="16.5" customHeight="1">
      <c r="A24" s="581" t="s">
        <v>1</v>
      </c>
      <c r="B24" s="582" t="s">
        <v>22</v>
      </c>
    </row>
    <row r="25" spans="1:5" ht="16.5" customHeight="1">
      <c r="A25" s="586" t="s">
        <v>4</v>
      </c>
      <c r="B25" s="624" t="str">
        <f>B4</f>
        <v>Tenofovir DF</v>
      </c>
      <c r="C25" s="585"/>
      <c r="D25" s="585"/>
      <c r="E25" s="585"/>
    </row>
    <row r="26" spans="1:5" ht="16.5" customHeight="1">
      <c r="A26" s="586" t="s">
        <v>6</v>
      </c>
      <c r="B26" s="587">
        <v>98.8</v>
      </c>
      <c r="C26" s="585"/>
      <c r="D26" s="585"/>
      <c r="E26" s="585"/>
    </row>
    <row r="27" spans="1:5" ht="16.5" customHeight="1">
      <c r="A27" s="583" t="s">
        <v>7</v>
      </c>
      <c r="B27" s="587">
        <f>'Tenofovir Disoproxil Fumarate'!D96</f>
        <v>15.62</v>
      </c>
      <c r="C27" s="585"/>
      <c r="D27" s="585"/>
      <c r="E27" s="585"/>
    </row>
    <row r="28" spans="1:5" ht="16.5" customHeight="1">
      <c r="A28" s="583" t="s">
        <v>8</v>
      </c>
      <c r="B28" s="588">
        <f>B27/50</f>
        <v>0.31240000000000001</v>
      </c>
      <c r="C28" s="585"/>
      <c r="D28" s="585"/>
      <c r="E28" s="585"/>
    </row>
    <row r="29" spans="1:5" ht="15.75" customHeight="1">
      <c r="A29" s="585"/>
      <c r="B29" s="585"/>
      <c r="C29" s="585"/>
      <c r="D29" s="585"/>
      <c r="E29" s="585"/>
    </row>
    <row r="30" spans="1:5" ht="16.5" customHeight="1">
      <c r="A30" s="590" t="s">
        <v>10</v>
      </c>
      <c r="B30" s="591" t="s">
        <v>11</v>
      </c>
      <c r="C30" s="590" t="s">
        <v>12</v>
      </c>
      <c r="D30" s="590" t="s">
        <v>13</v>
      </c>
      <c r="E30" s="590" t="s">
        <v>14</v>
      </c>
    </row>
    <row r="31" spans="1:5" ht="16.5" customHeight="1">
      <c r="A31" s="592">
        <v>1</v>
      </c>
      <c r="B31" s="801">
        <v>77173124</v>
      </c>
      <c r="C31" s="801">
        <v>103503.6</v>
      </c>
      <c r="D31" s="802">
        <v>1.1499999999999999</v>
      </c>
      <c r="E31" s="803">
        <v>16.98</v>
      </c>
    </row>
    <row r="32" spans="1:5" ht="16.5" customHeight="1">
      <c r="A32" s="592">
        <v>2</v>
      </c>
      <c r="B32" s="801">
        <v>77164028</v>
      </c>
      <c r="C32" s="801">
        <v>100392</v>
      </c>
      <c r="D32" s="802">
        <v>1.18</v>
      </c>
      <c r="E32" s="802">
        <v>16.98</v>
      </c>
    </row>
    <row r="33" spans="1:7" ht="16.5" customHeight="1">
      <c r="A33" s="592">
        <v>3</v>
      </c>
      <c r="B33" s="801">
        <v>77291064</v>
      </c>
      <c r="C33" s="801">
        <v>100759</v>
      </c>
      <c r="D33" s="802">
        <v>1.18</v>
      </c>
      <c r="E33" s="802">
        <v>16.989999999999998</v>
      </c>
    </row>
    <row r="34" spans="1:7" ht="16.5" customHeight="1">
      <c r="A34" s="592">
        <v>4</v>
      </c>
      <c r="B34" s="801">
        <v>77196896</v>
      </c>
      <c r="C34" s="801">
        <v>101776</v>
      </c>
      <c r="D34" s="802">
        <v>1.19</v>
      </c>
      <c r="E34" s="802">
        <v>16.989999999999998</v>
      </c>
    </row>
    <row r="35" spans="1:7" ht="16.5" customHeight="1">
      <c r="A35" s="592">
        <v>5</v>
      </c>
      <c r="B35" s="801">
        <v>77199403</v>
      </c>
      <c r="C35" s="801">
        <v>101730.2</v>
      </c>
      <c r="D35" s="802">
        <v>1.1599999999999999</v>
      </c>
      <c r="E35" s="802">
        <v>16.989999999999998</v>
      </c>
    </row>
    <row r="36" spans="1:7" ht="16.5" customHeight="1">
      <c r="A36" s="592">
        <v>6</v>
      </c>
      <c r="B36" s="804">
        <v>77162234</v>
      </c>
      <c r="C36" s="804">
        <v>98668.2</v>
      </c>
      <c r="D36" s="805">
        <v>1.21</v>
      </c>
      <c r="E36" s="805">
        <v>16.98</v>
      </c>
    </row>
    <row r="37" spans="1:7" ht="16.5" customHeight="1">
      <c r="A37" s="598" t="s">
        <v>15</v>
      </c>
      <c r="B37" s="599">
        <f>AVERAGE(B31:B36)</f>
        <v>77197791.5</v>
      </c>
      <c r="C37" s="600">
        <f>AVERAGE(C31:C36)</f>
        <v>101138.16666666667</v>
      </c>
      <c r="D37" s="601">
        <f>AVERAGE(D31:D36)</f>
        <v>1.1783333333333332</v>
      </c>
      <c r="E37" s="601">
        <f>AVERAGE(E31:E36)</f>
        <v>16.984999999999999</v>
      </c>
    </row>
    <row r="38" spans="1:7" ht="16.5" customHeight="1">
      <c r="A38" s="602" t="s">
        <v>16</v>
      </c>
      <c r="B38" s="603">
        <f>(STDEV(B31:B36)/B37)</f>
        <v>6.2704533275483542E-4</v>
      </c>
      <c r="C38" s="604"/>
      <c r="D38" s="604"/>
      <c r="E38" s="605"/>
    </row>
    <row r="39" spans="1:7" s="580" customFormat="1" ht="16.5" customHeight="1">
      <c r="A39" s="606" t="s">
        <v>17</v>
      </c>
      <c r="B39" s="607">
        <f>COUNT(B31:B36)</f>
        <v>6</v>
      </c>
      <c r="C39" s="608"/>
      <c r="D39" s="609"/>
      <c r="E39" s="610"/>
    </row>
    <row r="40" spans="1:7" s="580" customFormat="1" ht="15.75" customHeight="1">
      <c r="A40" s="585"/>
      <c r="B40" s="585"/>
      <c r="C40" s="585"/>
      <c r="D40" s="585"/>
      <c r="E40" s="585"/>
    </row>
    <row r="41" spans="1:7" s="580" customFormat="1" ht="16.5" customHeight="1">
      <c r="A41" s="586" t="s">
        <v>18</v>
      </c>
      <c r="B41" s="611" t="s">
        <v>19</v>
      </c>
      <c r="C41" s="612"/>
      <c r="D41" s="612"/>
      <c r="E41" s="612"/>
    </row>
    <row r="42" spans="1:7" ht="16.5" customHeight="1">
      <c r="A42" s="586"/>
      <c r="B42" s="611" t="s">
        <v>20</v>
      </c>
      <c r="C42" s="612"/>
      <c r="D42" s="612"/>
      <c r="E42" s="612"/>
    </row>
    <row r="43" spans="1:7" ht="16.5" customHeight="1">
      <c r="A43" s="586"/>
      <c r="B43" s="611" t="s">
        <v>21</v>
      </c>
      <c r="C43" s="612"/>
      <c r="D43" s="612"/>
      <c r="E43" s="612"/>
    </row>
    <row r="44" spans="1:7" ht="14.25" customHeight="1" thickBot="1">
      <c r="A44" s="613"/>
      <c r="B44" s="614"/>
      <c r="D44" s="615"/>
      <c r="F44" s="616"/>
      <c r="G44" s="616"/>
    </row>
    <row r="45" spans="1:7" ht="15" customHeight="1">
      <c r="B45" s="627" t="s">
        <v>23</v>
      </c>
      <c r="C45" s="627"/>
      <c r="E45" s="617" t="s">
        <v>24</v>
      </c>
      <c r="F45" s="618"/>
      <c r="G45" s="617" t="s">
        <v>25</v>
      </c>
    </row>
    <row r="46" spans="1:7" ht="15" customHeight="1">
      <c r="A46" s="619" t="s">
        <v>26</v>
      </c>
      <c r="B46" s="620"/>
      <c r="C46" s="620"/>
      <c r="E46" s="620"/>
      <c r="G46" s="620"/>
    </row>
    <row r="47" spans="1:7" ht="15" customHeight="1">
      <c r="A47" s="619" t="s">
        <v>27</v>
      </c>
      <c r="B47" s="621"/>
      <c r="C47" s="621"/>
      <c r="E47" s="621"/>
      <c r="G47" s="62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92" zoomScale="50" zoomScaleNormal="60" zoomScaleSheetLayoutView="50" zoomScalePageLayoutView="43" workbookViewId="0">
      <selection activeCell="D114" sqref="D114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>
      <c r="A1" s="631" t="s">
        <v>42</v>
      </c>
      <c r="B1" s="631"/>
      <c r="C1" s="631"/>
      <c r="D1" s="631"/>
      <c r="E1" s="631"/>
      <c r="F1" s="631"/>
      <c r="G1" s="631"/>
      <c r="H1" s="631"/>
      <c r="I1" s="631"/>
    </row>
    <row r="2" spans="1:9" ht="18.75" customHeight="1">
      <c r="A2" s="631"/>
      <c r="B2" s="631"/>
      <c r="C2" s="631"/>
      <c r="D2" s="631"/>
      <c r="E2" s="631"/>
      <c r="F2" s="631"/>
      <c r="G2" s="631"/>
      <c r="H2" s="631"/>
      <c r="I2" s="631"/>
    </row>
    <row r="3" spans="1:9" ht="18.75" customHeight="1">
      <c r="A3" s="631"/>
      <c r="B3" s="631"/>
      <c r="C3" s="631"/>
      <c r="D3" s="631"/>
      <c r="E3" s="631"/>
      <c r="F3" s="631"/>
      <c r="G3" s="631"/>
      <c r="H3" s="631"/>
      <c r="I3" s="631"/>
    </row>
    <row r="4" spans="1:9" ht="18.75" customHeight="1">
      <c r="A4" s="631"/>
      <c r="B4" s="631"/>
      <c r="C4" s="631"/>
      <c r="D4" s="631"/>
      <c r="E4" s="631"/>
      <c r="F4" s="631"/>
      <c r="G4" s="631"/>
      <c r="H4" s="631"/>
      <c r="I4" s="631"/>
    </row>
    <row r="5" spans="1:9" ht="18.75" customHeight="1">
      <c r="A5" s="631"/>
      <c r="B5" s="631"/>
      <c r="C5" s="631"/>
      <c r="D5" s="631"/>
      <c r="E5" s="631"/>
      <c r="F5" s="631"/>
      <c r="G5" s="631"/>
      <c r="H5" s="631"/>
      <c r="I5" s="631"/>
    </row>
    <row r="6" spans="1:9" ht="18.75" customHeight="1">
      <c r="A6" s="631"/>
      <c r="B6" s="631"/>
      <c r="C6" s="631"/>
      <c r="D6" s="631"/>
      <c r="E6" s="631"/>
      <c r="F6" s="631"/>
      <c r="G6" s="631"/>
      <c r="H6" s="631"/>
      <c r="I6" s="631"/>
    </row>
    <row r="7" spans="1:9" ht="18.75" customHeight="1">
      <c r="A7" s="631"/>
      <c r="B7" s="631"/>
      <c r="C7" s="631"/>
      <c r="D7" s="631"/>
      <c r="E7" s="631"/>
      <c r="F7" s="631"/>
      <c r="G7" s="631"/>
      <c r="H7" s="631"/>
      <c r="I7" s="631"/>
    </row>
    <row r="8" spans="1:9">
      <c r="A8" s="632" t="s">
        <v>43</v>
      </c>
      <c r="B8" s="632"/>
      <c r="C8" s="632"/>
      <c r="D8" s="632"/>
      <c r="E8" s="632"/>
      <c r="F8" s="632"/>
      <c r="G8" s="632"/>
      <c r="H8" s="632"/>
      <c r="I8" s="632"/>
    </row>
    <row r="9" spans="1:9">
      <c r="A9" s="632"/>
      <c r="B9" s="632"/>
      <c r="C9" s="632"/>
      <c r="D9" s="632"/>
      <c r="E9" s="632"/>
      <c r="F9" s="632"/>
      <c r="G9" s="632"/>
      <c r="H9" s="632"/>
      <c r="I9" s="632"/>
    </row>
    <row r="10" spans="1:9">
      <c r="A10" s="632"/>
      <c r="B10" s="632"/>
      <c r="C10" s="632"/>
      <c r="D10" s="632"/>
      <c r="E10" s="632"/>
      <c r="F10" s="632"/>
      <c r="G10" s="632"/>
      <c r="H10" s="632"/>
      <c r="I10" s="632"/>
    </row>
    <row r="11" spans="1:9">
      <c r="A11" s="632"/>
      <c r="B11" s="632"/>
      <c r="C11" s="632"/>
      <c r="D11" s="632"/>
      <c r="E11" s="632"/>
      <c r="F11" s="632"/>
      <c r="G11" s="632"/>
      <c r="H11" s="632"/>
      <c r="I11" s="632"/>
    </row>
    <row r="12" spans="1:9">
      <c r="A12" s="632"/>
      <c r="B12" s="632"/>
      <c r="C12" s="632"/>
      <c r="D12" s="632"/>
      <c r="E12" s="632"/>
      <c r="F12" s="632"/>
      <c r="G12" s="632"/>
      <c r="H12" s="632"/>
      <c r="I12" s="632"/>
    </row>
    <row r="13" spans="1:9">
      <c r="A13" s="632"/>
      <c r="B13" s="632"/>
      <c r="C13" s="632"/>
      <c r="D13" s="632"/>
      <c r="E13" s="632"/>
      <c r="F13" s="632"/>
      <c r="G13" s="632"/>
      <c r="H13" s="632"/>
      <c r="I13" s="632"/>
    </row>
    <row r="14" spans="1:9">
      <c r="A14" s="632"/>
      <c r="B14" s="632"/>
      <c r="C14" s="632"/>
      <c r="D14" s="632"/>
      <c r="E14" s="632"/>
      <c r="F14" s="632"/>
      <c r="G14" s="632"/>
      <c r="H14" s="632"/>
      <c r="I14" s="632"/>
    </row>
    <row r="15" spans="1:9" ht="19.5" customHeight="1" thickBot="1">
      <c r="A15" s="87"/>
    </row>
    <row r="16" spans="1:9" ht="19.5" customHeight="1" thickBot="1">
      <c r="A16" s="633" t="s">
        <v>28</v>
      </c>
      <c r="B16" s="634"/>
      <c r="C16" s="634"/>
      <c r="D16" s="634"/>
      <c r="E16" s="634"/>
      <c r="F16" s="634"/>
      <c r="G16" s="634"/>
      <c r="H16" s="635"/>
    </row>
    <row r="17" spans="1:14" ht="20.25" customHeight="1">
      <c r="A17" s="636" t="s">
        <v>44</v>
      </c>
      <c r="B17" s="636"/>
      <c r="C17" s="636"/>
      <c r="D17" s="636"/>
      <c r="E17" s="636"/>
      <c r="F17" s="636"/>
      <c r="G17" s="636"/>
      <c r="H17" s="636"/>
    </row>
    <row r="18" spans="1:14" ht="26.25" customHeight="1">
      <c r="A18" s="88" t="s">
        <v>30</v>
      </c>
      <c r="B18" s="637" t="s">
        <v>122</v>
      </c>
      <c r="C18" s="637"/>
      <c r="D18" s="89"/>
      <c r="E18" s="90"/>
      <c r="F18" s="91"/>
      <c r="G18" s="91"/>
      <c r="H18" s="91"/>
    </row>
    <row r="19" spans="1:14" ht="26.25" customHeight="1">
      <c r="A19" s="88" t="s">
        <v>31</v>
      </c>
      <c r="B19" s="625" t="s">
        <v>132</v>
      </c>
      <c r="C19" s="91">
        <v>29</v>
      </c>
      <c r="D19" s="91"/>
      <c r="E19" s="91"/>
      <c r="F19" s="91"/>
      <c r="G19" s="91"/>
      <c r="H19" s="91"/>
    </row>
    <row r="20" spans="1:14" ht="26.25" customHeight="1">
      <c r="A20" s="88" t="s">
        <v>32</v>
      </c>
      <c r="B20" s="638" t="s">
        <v>123</v>
      </c>
      <c r="C20" s="638"/>
      <c r="D20" s="91"/>
      <c r="E20" s="91"/>
      <c r="F20" s="91"/>
      <c r="G20" s="91"/>
      <c r="H20" s="91"/>
    </row>
    <row r="21" spans="1:14" ht="26.25" customHeight="1">
      <c r="A21" s="88" t="s">
        <v>33</v>
      </c>
      <c r="B21" s="638" t="s">
        <v>9</v>
      </c>
      <c r="C21" s="638"/>
      <c r="D21" s="638"/>
      <c r="E21" s="638"/>
      <c r="F21" s="638"/>
      <c r="G21" s="638"/>
      <c r="H21" s="638"/>
      <c r="I21" s="92"/>
    </row>
    <row r="22" spans="1:14" ht="26.25" customHeight="1">
      <c r="A22" s="88" t="s">
        <v>34</v>
      </c>
      <c r="B22" s="93">
        <v>42590</v>
      </c>
      <c r="C22" s="91"/>
      <c r="D22" s="91"/>
      <c r="E22" s="91"/>
      <c r="F22" s="91"/>
      <c r="G22" s="91"/>
      <c r="H22" s="91"/>
    </row>
    <row r="23" spans="1:14" ht="26.25" customHeight="1">
      <c r="A23" s="88" t="s">
        <v>35</v>
      </c>
      <c r="B23" s="93">
        <v>42643</v>
      </c>
      <c r="C23" s="91"/>
      <c r="D23" s="91"/>
      <c r="E23" s="91"/>
      <c r="F23" s="91"/>
      <c r="G23" s="91"/>
      <c r="H23" s="91"/>
    </row>
    <row r="24" spans="1:14" ht="18.75">
      <c r="A24" s="88"/>
      <c r="B24" s="94"/>
    </row>
    <row r="25" spans="1:14" ht="18.75">
      <c r="A25" s="95" t="s">
        <v>1</v>
      </c>
      <c r="B25" s="94"/>
    </row>
    <row r="26" spans="1:14" ht="26.25" customHeight="1">
      <c r="A26" s="96" t="s">
        <v>4</v>
      </c>
      <c r="B26" s="637" t="s">
        <v>124</v>
      </c>
      <c r="C26" s="637"/>
    </row>
    <row r="27" spans="1:14" ht="26.25" customHeight="1">
      <c r="A27" s="97" t="s">
        <v>45</v>
      </c>
      <c r="B27" s="639" t="s">
        <v>125</v>
      </c>
      <c r="C27" s="639"/>
    </row>
    <row r="28" spans="1:14" ht="27" customHeight="1" thickBot="1">
      <c r="A28" s="97" t="s">
        <v>6</v>
      </c>
      <c r="B28" s="98">
        <v>98.8</v>
      </c>
    </row>
    <row r="29" spans="1:14" s="12" customFormat="1" ht="27" customHeight="1" thickBot="1">
      <c r="A29" s="97" t="s">
        <v>46</v>
      </c>
      <c r="B29" s="99">
        <v>0</v>
      </c>
      <c r="C29" s="640" t="s">
        <v>47</v>
      </c>
      <c r="D29" s="641"/>
      <c r="E29" s="641"/>
      <c r="F29" s="641"/>
      <c r="G29" s="642"/>
      <c r="I29" s="100"/>
      <c r="J29" s="100"/>
      <c r="K29" s="100"/>
      <c r="L29" s="100"/>
    </row>
    <row r="30" spans="1:14" s="12" customFormat="1" ht="19.5" customHeight="1" thickBot="1">
      <c r="A30" s="97" t="s">
        <v>48</v>
      </c>
      <c r="B30" s="101">
        <f>B28-B29</f>
        <v>98.8</v>
      </c>
      <c r="C30" s="102"/>
      <c r="D30" s="102"/>
      <c r="E30" s="102"/>
      <c r="F30" s="102"/>
      <c r="G30" s="103"/>
      <c r="I30" s="100"/>
      <c r="J30" s="100"/>
      <c r="K30" s="100"/>
      <c r="L30" s="100"/>
    </row>
    <row r="31" spans="1:14" s="12" customFormat="1" ht="27" customHeight="1" thickBot="1">
      <c r="A31" s="97" t="s">
        <v>49</v>
      </c>
      <c r="B31" s="104">
        <v>1</v>
      </c>
      <c r="C31" s="628" t="s">
        <v>50</v>
      </c>
      <c r="D31" s="629"/>
      <c r="E31" s="629"/>
      <c r="F31" s="629"/>
      <c r="G31" s="629"/>
      <c r="H31" s="630"/>
      <c r="I31" s="100"/>
      <c r="J31" s="100"/>
      <c r="K31" s="100"/>
      <c r="L31" s="100"/>
    </row>
    <row r="32" spans="1:14" s="12" customFormat="1" ht="27" customHeight="1" thickBot="1">
      <c r="A32" s="97" t="s">
        <v>51</v>
      </c>
      <c r="B32" s="104">
        <v>1</v>
      </c>
      <c r="C32" s="628" t="s">
        <v>52</v>
      </c>
      <c r="D32" s="629"/>
      <c r="E32" s="629"/>
      <c r="F32" s="629"/>
      <c r="G32" s="629"/>
      <c r="H32" s="630"/>
      <c r="I32" s="100"/>
      <c r="J32" s="100"/>
      <c r="K32" s="100"/>
      <c r="L32" s="105"/>
      <c r="M32" s="105"/>
      <c r="N32" s="106"/>
    </row>
    <row r="33" spans="1:14" s="12" customFormat="1" ht="17.25" customHeight="1">
      <c r="A33" s="97"/>
      <c r="B33" s="107"/>
      <c r="C33" s="108"/>
      <c r="D33" s="108"/>
      <c r="E33" s="108"/>
      <c r="F33" s="108"/>
      <c r="G33" s="108"/>
      <c r="H33" s="108"/>
      <c r="I33" s="100"/>
      <c r="J33" s="100"/>
      <c r="K33" s="100"/>
      <c r="L33" s="105"/>
      <c r="M33" s="105"/>
      <c r="N33" s="106"/>
    </row>
    <row r="34" spans="1:14" s="12" customFormat="1" ht="18.75">
      <c r="A34" s="97" t="s">
        <v>53</v>
      </c>
      <c r="B34" s="109">
        <f>B31/B32</f>
        <v>1</v>
      </c>
      <c r="C34" s="87" t="s">
        <v>54</v>
      </c>
      <c r="D34" s="87"/>
      <c r="E34" s="87"/>
      <c r="F34" s="87"/>
      <c r="G34" s="87"/>
      <c r="I34" s="100"/>
      <c r="J34" s="100"/>
      <c r="K34" s="100"/>
      <c r="L34" s="105"/>
      <c r="M34" s="105"/>
      <c r="N34" s="106"/>
    </row>
    <row r="35" spans="1:14" s="12" customFormat="1" ht="19.5" customHeight="1" thickBot="1">
      <c r="A35" s="97"/>
      <c r="B35" s="101"/>
      <c r="G35" s="87"/>
      <c r="I35" s="100"/>
      <c r="J35" s="100"/>
      <c r="K35" s="100"/>
      <c r="L35" s="105"/>
      <c r="M35" s="105"/>
      <c r="N35" s="106"/>
    </row>
    <row r="36" spans="1:14" s="12" customFormat="1" ht="27" customHeight="1" thickBot="1">
      <c r="A36" s="110" t="s">
        <v>55</v>
      </c>
      <c r="B36" s="111">
        <v>50</v>
      </c>
      <c r="C36" s="87"/>
      <c r="D36" s="643" t="s">
        <v>56</v>
      </c>
      <c r="E36" s="644"/>
      <c r="F36" s="643" t="s">
        <v>57</v>
      </c>
      <c r="G36" s="645"/>
      <c r="J36" s="100"/>
      <c r="K36" s="100"/>
      <c r="L36" s="105"/>
      <c r="M36" s="105"/>
      <c r="N36" s="106"/>
    </row>
    <row r="37" spans="1:14" s="12" customFormat="1" ht="27" customHeight="1" thickBot="1">
      <c r="A37" s="112" t="s">
        <v>58</v>
      </c>
      <c r="B37" s="113">
        <v>10</v>
      </c>
      <c r="C37" s="114" t="s">
        <v>59</v>
      </c>
      <c r="D37" s="115" t="s">
        <v>60</v>
      </c>
      <c r="E37" s="116" t="s">
        <v>61</v>
      </c>
      <c r="F37" s="115" t="s">
        <v>60</v>
      </c>
      <c r="G37" s="117" t="s">
        <v>61</v>
      </c>
      <c r="I37" s="118" t="s">
        <v>62</v>
      </c>
      <c r="J37" s="100"/>
      <c r="K37" s="100"/>
      <c r="L37" s="105"/>
      <c r="M37" s="105"/>
      <c r="N37" s="106"/>
    </row>
    <row r="38" spans="1:14" s="12" customFormat="1" ht="26.25" customHeight="1">
      <c r="A38" s="112" t="s">
        <v>63</v>
      </c>
      <c r="B38" s="113">
        <v>25</v>
      </c>
      <c r="C38" s="119">
        <v>1</v>
      </c>
      <c r="D38" s="120">
        <v>22432835</v>
      </c>
      <c r="E38" s="121">
        <f>IF(ISBLANK(D38),"-",$D$48/$D$45*D38)</f>
        <v>23391447.715998575</v>
      </c>
      <c r="F38" s="120">
        <v>23998399</v>
      </c>
      <c r="G38" s="122">
        <f>IF(ISBLANK(F38),"-",$D$48/$F$45*F38)</f>
        <v>23491177.495516803</v>
      </c>
      <c r="I38" s="123"/>
      <c r="J38" s="100"/>
      <c r="K38" s="100"/>
      <c r="L38" s="105"/>
      <c r="M38" s="105"/>
      <c r="N38" s="106"/>
    </row>
    <row r="39" spans="1:14" s="12" customFormat="1" ht="26.25" customHeight="1">
      <c r="A39" s="112" t="s">
        <v>64</v>
      </c>
      <c r="B39" s="113">
        <v>1</v>
      </c>
      <c r="C39" s="124">
        <v>2</v>
      </c>
      <c r="D39" s="125">
        <v>22297044</v>
      </c>
      <c r="E39" s="126">
        <f>IF(ISBLANK(D39),"-",$D$48/$D$45*D39)</f>
        <v>23249854.017440051</v>
      </c>
      <c r="F39" s="125">
        <v>23979670</v>
      </c>
      <c r="G39" s="127">
        <f>IF(ISBLANK(F39),"-",$D$48/$F$45*F39)</f>
        <v>23472844.344904818</v>
      </c>
      <c r="I39" s="646">
        <f>ABS((F43/D43*D42)-F42)/D42</f>
        <v>8.2812905211067014E-3</v>
      </c>
      <c r="J39" s="100"/>
      <c r="K39" s="100"/>
      <c r="L39" s="105"/>
      <c r="M39" s="105"/>
      <c r="N39" s="106"/>
    </row>
    <row r="40" spans="1:14" ht="26.25" customHeight="1">
      <c r="A40" s="112" t="s">
        <v>65</v>
      </c>
      <c r="B40" s="113">
        <v>1</v>
      </c>
      <c r="C40" s="124">
        <v>3</v>
      </c>
      <c r="D40" s="125">
        <v>22238468</v>
      </c>
      <c r="E40" s="126">
        <f>IF(ISBLANK(D40),"-",$D$48/$D$45*D40)</f>
        <v>23188774.914356899</v>
      </c>
      <c r="F40" s="125">
        <v>23914363</v>
      </c>
      <c r="G40" s="127">
        <f>IF(ISBLANK(F40),"-",$D$48/$F$45*F40)</f>
        <v>23408917.650099061</v>
      </c>
      <c r="I40" s="646"/>
      <c r="L40" s="105"/>
      <c r="M40" s="105"/>
      <c r="N40" s="87"/>
    </row>
    <row r="41" spans="1:14" ht="27" customHeight="1" thickBot="1">
      <c r="A41" s="112" t="s">
        <v>66</v>
      </c>
      <c r="B41" s="113">
        <v>1</v>
      </c>
      <c r="C41" s="128">
        <v>4</v>
      </c>
      <c r="D41" s="129"/>
      <c r="E41" s="130" t="str">
        <f>IF(ISBLANK(D41),"-",$D$48/$D$45*D41)</f>
        <v>-</v>
      </c>
      <c r="F41" s="129"/>
      <c r="G41" s="131" t="str">
        <f>IF(ISBLANK(F41),"-",$D$48/$F$45*F41)</f>
        <v>-</v>
      </c>
      <c r="I41" s="132"/>
      <c r="L41" s="105"/>
      <c r="M41" s="105"/>
      <c r="N41" s="87"/>
    </row>
    <row r="42" spans="1:14" ht="27" customHeight="1" thickBot="1">
      <c r="A42" s="112" t="s">
        <v>67</v>
      </c>
      <c r="B42" s="113">
        <v>1</v>
      </c>
      <c r="C42" s="133" t="s">
        <v>68</v>
      </c>
      <c r="D42" s="134">
        <f>AVERAGE(D38:D41)</f>
        <v>22322782.333333332</v>
      </c>
      <c r="E42" s="135">
        <f>AVERAGE(E38:E41)</f>
        <v>23276692.215931844</v>
      </c>
      <c r="F42" s="134">
        <f>AVERAGE(F38:F41)</f>
        <v>23964144</v>
      </c>
      <c r="G42" s="136">
        <f>AVERAGE(G38:G41)</f>
        <v>23457646.496840227</v>
      </c>
      <c r="H42" s="36"/>
    </row>
    <row r="43" spans="1:14" ht="26.25" customHeight="1">
      <c r="A43" s="112" t="s">
        <v>69</v>
      </c>
      <c r="B43" s="113">
        <v>1</v>
      </c>
      <c r="C43" s="137" t="s">
        <v>70</v>
      </c>
      <c r="D43" s="138">
        <v>14.56</v>
      </c>
      <c r="E43" s="87"/>
      <c r="F43" s="138">
        <v>15.51</v>
      </c>
      <c r="H43" s="36"/>
    </row>
    <row r="44" spans="1:14" ht="26.25" customHeight="1">
      <c r="A44" s="112" t="s">
        <v>71</v>
      </c>
      <c r="B44" s="113">
        <v>1</v>
      </c>
      <c r="C44" s="139" t="s">
        <v>72</v>
      </c>
      <c r="D44" s="140">
        <f>D43*$B$34</f>
        <v>14.56</v>
      </c>
      <c r="E44" s="141"/>
      <c r="F44" s="140">
        <f>F43*$B$34</f>
        <v>15.51</v>
      </c>
      <c r="H44" s="36"/>
    </row>
    <row r="45" spans="1:14" ht="19.5" customHeight="1" thickBot="1">
      <c r="A45" s="112" t="s">
        <v>73</v>
      </c>
      <c r="B45" s="124">
        <f>(B44/B43)*(B42/B41)*(B40/B39)*(B38/B37)*B36</f>
        <v>125</v>
      </c>
      <c r="C45" s="139" t="s">
        <v>74</v>
      </c>
      <c r="D45" s="142">
        <f>D44*$B$30/100</f>
        <v>14.38528</v>
      </c>
      <c r="E45" s="143"/>
      <c r="F45" s="142">
        <f>F44*$B$30/100</f>
        <v>15.323879999999999</v>
      </c>
      <c r="H45" s="36"/>
    </row>
    <row r="46" spans="1:14" ht="19.5" customHeight="1" thickBot="1">
      <c r="A46" s="647" t="s">
        <v>75</v>
      </c>
      <c r="B46" s="648"/>
      <c r="C46" s="139" t="s">
        <v>76</v>
      </c>
      <c r="D46" s="144">
        <f>D45/$B$45</f>
        <v>0.11508224</v>
      </c>
      <c r="E46" s="145"/>
      <c r="F46" s="146">
        <f>F45/$B$45</f>
        <v>0.12259104</v>
      </c>
      <c r="H46" s="36"/>
    </row>
    <row r="47" spans="1:14" ht="27" customHeight="1" thickBot="1">
      <c r="A47" s="649"/>
      <c r="B47" s="650"/>
      <c r="C47" s="147" t="s">
        <v>77</v>
      </c>
      <c r="D47" s="148">
        <v>0.12</v>
      </c>
      <c r="E47" s="149"/>
      <c r="F47" s="145"/>
      <c r="H47" s="36"/>
    </row>
    <row r="48" spans="1:14" ht="18.75">
      <c r="C48" s="150" t="s">
        <v>78</v>
      </c>
      <c r="D48" s="142">
        <f>D47*$B$45</f>
        <v>15</v>
      </c>
      <c r="F48" s="151"/>
      <c r="H48" s="36"/>
    </row>
    <row r="49" spans="1:12" ht="19.5" customHeight="1" thickBot="1">
      <c r="C49" s="152" t="s">
        <v>79</v>
      </c>
      <c r="D49" s="153">
        <f>D48/B34</f>
        <v>15</v>
      </c>
      <c r="F49" s="151"/>
      <c r="H49" s="36"/>
    </row>
    <row r="50" spans="1:12" ht="18.75">
      <c r="C50" s="110" t="s">
        <v>80</v>
      </c>
      <c r="D50" s="154">
        <f>AVERAGE(E38:E41,G38:G41)</f>
        <v>23367169.356386036</v>
      </c>
      <c r="F50" s="155"/>
      <c r="H50" s="36"/>
    </row>
    <row r="51" spans="1:12" ht="18.75">
      <c r="C51" s="112" t="s">
        <v>81</v>
      </c>
      <c r="D51" s="156">
        <f>STDEV(E38:E41,G38:G41)/D50</f>
        <v>5.2225802664166926E-3</v>
      </c>
      <c r="F51" s="155"/>
      <c r="H51" s="36"/>
    </row>
    <row r="52" spans="1:12" ht="19.5" customHeight="1" thickBot="1">
      <c r="C52" s="157" t="s">
        <v>17</v>
      </c>
      <c r="D52" s="158">
        <f>COUNT(E38:E41,G38:G41)</f>
        <v>6</v>
      </c>
      <c r="F52" s="155"/>
    </row>
    <row r="54" spans="1:12" ht="18.75">
      <c r="A54" s="159" t="s">
        <v>1</v>
      </c>
      <c r="B54" s="160" t="s">
        <v>82</v>
      </c>
    </row>
    <row r="55" spans="1:12" ht="18.75">
      <c r="A55" s="87" t="s">
        <v>83</v>
      </c>
      <c r="B55" s="161" t="str">
        <f>B21</f>
        <v>Tenofovir Disoproxil Fumarate 300mg, Lamivudine 300mg, Efavirenz 600mg</v>
      </c>
    </row>
    <row r="56" spans="1:12" ht="26.25" customHeight="1">
      <c r="A56" s="161" t="s">
        <v>84</v>
      </c>
      <c r="B56" s="162">
        <v>300</v>
      </c>
      <c r="C56" s="87" t="str">
        <f>B20</f>
        <v xml:space="preserve">Tenofovir Disoproxil Fumarate 300mg, Lamivudine 300mg &amp; Efavirenz 600mg </v>
      </c>
      <c r="H56" s="141"/>
    </row>
    <row r="57" spans="1:12" ht="18.75">
      <c r="A57" s="161" t="s">
        <v>85</v>
      </c>
      <c r="B57" s="163">
        <f>Uniformity!C46</f>
        <v>1890.5280000000002</v>
      </c>
      <c r="H57" s="141"/>
    </row>
    <row r="58" spans="1:12" ht="19.5" customHeight="1" thickBot="1">
      <c r="H58" s="141"/>
    </row>
    <row r="59" spans="1:12" s="12" customFormat="1" ht="27" customHeight="1" thickBot="1">
      <c r="A59" s="110" t="s">
        <v>86</v>
      </c>
      <c r="B59" s="111">
        <v>250</v>
      </c>
      <c r="C59" s="87"/>
      <c r="D59" s="164" t="s">
        <v>87</v>
      </c>
      <c r="E59" s="165" t="s">
        <v>59</v>
      </c>
      <c r="F59" s="165" t="s">
        <v>60</v>
      </c>
      <c r="G59" s="165" t="s">
        <v>88</v>
      </c>
      <c r="H59" s="114" t="s">
        <v>89</v>
      </c>
      <c r="L59" s="100"/>
    </row>
    <row r="60" spans="1:12" s="12" customFormat="1" ht="26.25" customHeight="1">
      <c r="A60" s="112" t="s">
        <v>90</v>
      </c>
      <c r="B60" s="113">
        <v>3</v>
      </c>
      <c r="C60" s="651" t="s">
        <v>91</v>
      </c>
      <c r="D60" s="654">
        <v>1885.26</v>
      </c>
      <c r="E60" s="166">
        <v>1</v>
      </c>
      <c r="F60" s="167">
        <v>27735214</v>
      </c>
      <c r="G60" s="168">
        <f>IF(ISBLANK(F60),"-",(F60/$D$50*$D$47*$B$68)*($B$57/$D$60))</f>
        <v>297.56187355041624</v>
      </c>
      <c r="H60" s="169">
        <f t="shared" ref="H60:H71" si="0">IF(ISBLANK(F60),"-",G60/$B$56)</f>
        <v>0.99187291183472082</v>
      </c>
      <c r="L60" s="100"/>
    </row>
    <row r="61" spans="1:12" s="12" customFormat="1" ht="26.25" customHeight="1">
      <c r="A61" s="112" t="s">
        <v>92</v>
      </c>
      <c r="B61" s="113">
        <v>25</v>
      </c>
      <c r="C61" s="652"/>
      <c r="D61" s="655"/>
      <c r="E61" s="170">
        <v>2</v>
      </c>
      <c r="F61" s="125">
        <v>27627916</v>
      </c>
      <c r="G61" s="171">
        <f>IF(ISBLANK(F61),"-",(F61/$D$50*$D$47*$B$68)*($B$57/$D$60))</f>
        <v>296.41070904495353</v>
      </c>
      <c r="H61" s="172">
        <f t="shared" si="0"/>
        <v>0.98803569681651182</v>
      </c>
      <c r="L61" s="100"/>
    </row>
    <row r="62" spans="1:12" s="12" customFormat="1" ht="26.25" customHeight="1">
      <c r="A62" s="112" t="s">
        <v>93</v>
      </c>
      <c r="B62" s="113">
        <v>1</v>
      </c>
      <c r="C62" s="652"/>
      <c r="D62" s="655"/>
      <c r="E62" s="170">
        <v>3</v>
      </c>
      <c r="F62" s="173">
        <v>27628251</v>
      </c>
      <c r="G62" s="171">
        <f>IF(ISBLANK(F62),"-",(F62/$D$50*$D$47*$B$68)*($B$57/$D$60))</f>
        <v>296.41430314837891</v>
      </c>
      <c r="H62" s="172">
        <f t="shared" si="0"/>
        <v>0.98804767716126307</v>
      </c>
      <c r="L62" s="100"/>
    </row>
    <row r="63" spans="1:12" ht="27" customHeight="1" thickBot="1">
      <c r="A63" s="112" t="s">
        <v>94</v>
      </c>
      <c r="B63" s="113">
        <v>1</v>
      </c>
      <c r="C63" s="653"/>
      <c r="D63" s="656"/>
      <c r="E63" s="174">
        <v>4</v>
      </c>
      <c r="F63" s="175"/>
      <c r="G63" s="171" t="str">
        <f>IF(ISBLANK(F63),"-",(F63/$D$50*$D$47*$B$68)*($B$57/$D$60))</f>
        <v>-</v>
      </c>
      <c r="H63" s="172" t="str">
        <f t="shared" si="0"/>
        <v>-</v>
      </c>
    </row>
    <row r="64" spans="1:12" ht="26.25" customHeight="1">
      <c r="A64" s="112" t="s">
        <v>95</v>
      </c>
      <c r="B64" s="113">
        <v>1</v>
      </c>
      <c r="C64" s="651" t="s">
        <v>96</v>
      </c>
      <c r="D64" s="654">
        <v>1899.38</v>
      </c>
      <c r="E64" s="166">
        <v>1</v>
      </c>
      <c r="F64" s="167">
        <v>27656343</v>
      </c>
      <c r="G64" s="176">
        <f>IF(ISBLANK(F64),"-",(F64/$D$50*$D$47*$B$68)*($B$57/$D$64))</f>
        <v>294.50990698091908</v>
      </c>
      <c r="H64" s="177">
        <f t="shared" si="0"/>
        <v>0.98169968993639689</v>
      </c>
    </row>
    <row r="65" spans="1:8" ht="26.25" customHeight="1">
      <c r="A65" s="112" t="s">
        <v>97</v>
      </c>
      <c r="B65" s="113">
        <v>1</v>
      </c>
      <c r="C65" s="652"/>
      <c r="D65" s="655"/>
      <c r="E65" s="170">
        <v>2</v>
      </c>
      <c r="F65" s="125">
        <v>27796187</v>
      </c>
      <c r="G65" s="178">
        <f>IF(ISBLANK(F65),"-",(F65/$D$50*$D$47*$B$68)*($B$57/$D$64))</f>
        <v>295.9990931481517</v>
      </c>
      <c r="H65" s="179">
        <f t="shared" si="0"/>
        <v>0.98666364382717231</v>
      </c>
    </row>
    <row r="66" spans="1:8" ht="26.25" customHeight="1">
      <c r="A66" s="112" t="s">
        <v>98</v>
      </c>
      <c r="B66" s="113">
        <v>1</v>
      </c>
      <c r="C66" s="652"/>
      <c r="D66" s="655"/>
      <c r="E66" s="170">
        <v>3</v>
      </c>
      <c r="F66" s="125">
        <v>27655159</v>
      </c>
      <c r="G66" s="178">
        <f>IF(ISBLANK(F66),"-",(F66/$D$50*$D$47*$B$68)*($B$57/$D$64))</f>
        <v>294.49729867150296</v>
      </c>
      <c r="H66" s="179">
        <f t="shared" si="0"/>
        <v>0.98165766223834316</v>
      </c>
    </row>
    <row r="67" spans="1:8" ht="27" customHeight="1" thickBot="1">
      <c r="A67" s="112" t="s">
        <v>99</v>
      </c>
      <c r="B67" s="113">
        <v>1</v>
      </c>
      <c r="C67" s="653"/>
      <c r="D67" s="656"/>
      <c r="E67" s="174">
        <v>4</v>
      </c>
      <c r="F67" s="175"/>
      <c r="G67" s="180" t="str">
        <f>IF(ISBLANK(F67),"-",(F67/$D$50*$D$47*$B$68)*($B$57/$D$64))</f>
        <v>-</v>
      </c>
      <c r="H67" s="181" t="str">
        <f t="shared" si="0"/>
        <v>-</v>
      </c>
    </row>
    <row r="68" spans="1:8" ht="26.25" customHeight="1">
      <c r="A68" s="112" t="s">
        <v>100</v>
      </c>
      <c r="B68" s="182">
        <f>(B67/B66)*(B65/B64)*(B63/B62)*(B61/B60)*B59</f>
        <v>2083.3333333333335</v>
      </c>
      <c r="C68" s="651" t="s">
        <v>101</v>
      </c>
      <c r="D68" s="654">
        <v>1879.85</v>
      </c>
      <c r="E68" s="166">
        <v>1</v>
      </c>
      <c r="F68" s="167">
        <v>27178655</v>
      </c>
      <c r="G68" s="176">
        <f>IF(ISBLANK(F68),"-",(F68/$D$50*$D$47*$B$68)*($B$57/$D$68))</f>
        <v>292.42990323830259</v>
      </c>
      <c r="H68" s="172">
        <f t="shared" si="0"/>
        <v>0.97476634412767527</v>
      </c>
    </row>
    <row r="69" spans="1:8" ht="27" customHeight="1" thickBot="1">
      <c r="A69" s="157" t="s">
        <v>102</v>
      </c>
      <c r="B69" s="183">
        <f>(D47*B68)/B56*B57</f>
        <v>1575.4400000000003</v>
      </c>
      <c r="C69" s="652"/>
      <c r="D69" s="655"/>
      <c r="E69" s="170">
        <v>2</v>
      </c>
      <c r="F69" s="125">
        <v>27274452</v>
      </c>
      <c r="G69" s="178">
        <f>IF(ISBLANK(F69),"-",(F69/$D$50*$D$47*$B$68)*($B$57/$D$68))</f>
        <v>293.46063516526959</v>
      </c>
      <c r="H69" s="172">
        <f t="shared" si="0"/>
        <v>0.97820211721756534</v>
      </c>
    </row>
    <row r="70" spans="1:8" ht="26.25" customHeight="1">
      <c r="A70" s="659" t="s">
        <v>75</v>
      </c>
      <c r="B70" s="660"/>
      <c r="C70" s="652"/>
      <c r="D70" s="655"/>
      <c r="E70" s="170">
        <v>3</v>
      </c>
      <c r="F70" s="125">
        <v>27170502</v>
      </c>
      <c r="G70" s="178">
        <f>IF(ISBLANK(F70),"-",(F70/$D$50*$D$47*$B$68)*($B$57/$D$68))</f>
        <v>292.34218068539843</v>
      </c>
      <c r="H70" s="172">
        <f t="shared" si="0"/>
        <v>0.97447393561799478</v>
      </c>
    </row>
    <row r="71" spans="1:8" ht="27" customHeight="1" thickBot="1">
      <c r="A71" s="661"/>
      <c r="B71" s="662"/>
      <c r="C71" s="657"/>
      <c r="D71" s="656"/>
      <c r="E71" s="174">
        <v>4</v>
      </c>
      <c r="F71" s="175"/>
      <c r="G71" s="180" t="str">
        <f>IF(ISBLANK(F71),"-",(F71/$D$50*$D$47*$B$68)*($B$57/$D$68))</f>
        <v>-</v>
      </c>
      <c r="H71" s="184" t="str">
        <f t="shared" si="0"/>
        <v>-</v>
      </c>
    </row>
    <row r="72" spans="1:8" ht="26.25" customHeight="1">
      <c r="A72" s="141"/>
      <c r="B72" s="141"/>
      <c r="C72" s="141"/>
      <c r="D72" s="141"/>
      <c r="E72" s="141"/>
      <c r="F72" s="185" t="s">
        <v>68</v>
      </c>
      <c r="G72" s="186">
        <f>AVERAGE(G60:G71)</f>
        <v>294.84732262592149</v>
      </c>
      <c r="H72" s="187">
        <f>AVERAGE(H60:H71)</f>
        <v>0.98282440875307153</v>
      </c>
    </row>
    <row r="73" spans="1:8" ht="26.25" customHeight="1">
      <c r="C73" s="141"/>
      <c r="D73" s="141"/>
      <c r="E73" s="141"/>
      <c r="F73" s="188" t="s">
        <v>81</v>
      </c>
      <c r="G73" s="189">
        <f>STDEV(G60:G71)/G72</f>
        <v>6.3307708346307901E-3</v>
      </c>
      <c r="H73" s="189">
        <f>STDEV(H60:H71)/H72</f>
        <v>6.3307708346603021E-3</v>
      </c>
    </row>
    <row r="74" spans="1:8" ht="27" customHeight="1" thickBot="1">
      <c r="A74" s="141"/>
      <c r="B74" s="141"/>
      <c r="C74" s="141"/>
      <c r="D74" s="141"/>
      <c r="E74" s="143"/>
      <c r="F74" s="190" t="s">
        <v>17</v>
      </c>
      <c r="G74" s="191">
        <f>COUNT(G60:G71)</f>
        <v>9</v>
      </c>
      <c r="H74" s="191">
        <f>COUNT(H60:H71)</f>
        <v>9</v>
      </c>
    </row>
    <row r="76" spans="1:8" ht="26.25" customHeight="1">
      <c r="A76" s="96" t="s">
        <v>103</v>
      </c>
      <c r="B76" s="97" t="s">
        <v>104</v>
      </c>
      <c r="C76" s="663" t="str">
        <f>B20</f>
        <v xml:space="preserve">Tenofovir Disoproxil Fumarate 300mg, Lamivudine 300mg &amp; Efavirenz 600mg </v>
      </c>
      <c r="D76" s="663"/>
      <c r="E76" s="87" t="s">
        <v>105</v>
      </c>
      <c r="F76" s="87"/>
      <c r="G76" s="192">
        <f>H72</f>
        <v>0.98282440875307153</v>
      </c>
      <c r="H76" s="101"/>
    </row>
    <row r="77" spans="1:8" ht="18.75">
      <c r="A77" s="95" t="s">
        <v>106</v>
      </c>
      <c r="B77" s="95" t="s">
        <v>107</v>
      </c>
    </row>
    <row r="78" spans="1:8" ht="18.75">
      <c r="A78" s="95"/>
      <c r="B78" s="95"/>
    </row>
    <row r="79" spans="1:8" ht="26.25" customHeight="1">
      <c r="A79" s="96" t="s">
        <v>4</v>
      </c>
      <c r="B79" s="658" t="str">
        <f>B26</f>
        <v>Tenofovir Disoproxil Fumurate</v>
      </c>
      <c r="C79" s="658"/>
    </row>
    <row r="80" spans="1:8" ht="26.25" customHeight="1">
      <c r="A80" s="97" t="s">
        <v>45</v>
      </c>
      <c r="B80" s="658" t="str">
        <f>B27</f>
        <v>T11-8</v>
      </c>
      <c r="C80" s="658"/>
    </row>
    <row r="81" spans="1:12" ht="27" customHeight="1" thickBot="1">
      <c r="A81" s="97" t="s">
        <v>6</v>
      </c>
      <c r="B81" s="98">
        <f>B28</f>
        <v>98.8</v>
      </c>
    </row>
    <row r="82" spans="1:12" s="12" customFormat="1" ht="27" customHeight="1" thickBot="1">
      <c r="A82" s="97" t="s">
        <v>46</v>
      </c>
      <c r="B82" s="99">
        <v>0</v>
      </c>
      <c r="C82" s="640" t="s">
        <v>47</v>
      </c>
      <c r="D82" s="641"/>
      <c r="E82" s="641"/>
      <c r="F82" s="641"/>
      <c r="G82" s="642"/>
      <c r="I82" s="100"/>
      <c r="J82" s="100"/>
      <c r="K82" s="100"/>
      <c r="L82" s="100"/>
    </row>
    <row r="83" spans="1:12" s="12" customFormat="1" ht="19.5" customHeight="1" thickBot="1">
      <c r="A83" s="97" t="s">
        <v>48</v>
      </c>
      <c r="B83" s="101">
        <f>B81-B82</f>
        <v>98.8</v>
      </c>
      <c r="C83" s="102"/>
      <c r="D83" s="102"/>
      <c r="E83" s="102"/>
      <c r="F83" s="102"/>
      <c r="G83" s="103"/>
      <c r="I83" s="100"/>
      <c r="J83" s="100"/>
      <c r="K83" s="100"/>
      <c r="L83" s="100"/>
    </row>
    <row r="84" spans="1:12" s="12" customFormat="1" ht="27" customHeight="1" thickBot="1">
      <c r="A84" s="97" t="s">
        <v>49</v>
      </c>
      <c r="B84" s="104">
        <v>1</v>
      </c>
      <c r="C84" s="628" t="s">
        <v>108</v>
      </c>
      <c r="D84" s="629"/>
      <c r="E84" s="629"/>
      <c r="F84" s="629"/>
      <c r="G84" s="629"/>
      <c r="H84" s="630"/>
      <c r="I84" s="100"/>
      <c r="J84" s="100"/>
      <c r="K84" s="100"/>
      <c r="L84" s="100"/>
    </row>
    <row r="85" spans="1:12" s="12" customFormat="1" ht="27" customHeight="1" thickBot="1">
      <c r="A85" s="97" t="s">
        <v>51</v>
      </c>
      <c r="B85" s="104">
        <v>1</v>
      </c>
      <c r="C85" s="628" t="s">
        <v>109</v>
      </c>
      <c r="D85" s="629"/>
      <c r="E85" s="629"/>
      <c r="F85" s="629"/>
      <c r="G85" s="629"/>
      <c r="H85" s="630"/>
      <c r="I85" s="100"/>
      <c r="J85" s="100"/>
      <c r="K85" s="100"/>
      <c r="L85" s="100"/>
    </row>
    <row r="86" spans="1:12" s="12" customFormat="1" ht="18.75">
      <c r="A86" s="97"/>
      <c r="B86" s="107"/>
      <c r="C86" s="108"/>
      <c r="D86" s="108"/>
      <c r="E86" s="108"/>
      <c r="F86" s="108"/>
      <c r="G86" s="108"/>
      <c r="H86" s="108"/>
      <c r="I86" s="100"/>
      <c r="J86" s="100"/>
      <c r="K86" s="100"/>
      <c r="L86" s="100"/>
    </row>
    <row r="87" spans="1:12" s="12" customFormat="1" ht="18.75">
      <c r="A87" s="97" t="s">
        <v>53</v>
      </c>
      <c r="B87" s="109">
        <f>B84/B85</f>
        <v>1</v>
      </c>
      <c r="C87" s="87" t="s">
        <v>54</v>
      </c>
      <c r="D87" s="87"/>
      <c r="E87" s="87"/>
      <c r="F87" s="87"/>
      <c r="G87" s="87"/>
      <c r="I87" s="100"/>
      <c r="J87" s="100"/>
      <c r="K87" s="100"/>
      <c r="L87" s="100"/>
    </row>
    <row r="88" spans="1:12" ht="19.5" customHeight="1" thickBot="1">
      <c r="A88" s="95"/>
      <c r="B88" s="95"/>
    </row>
    <row r="89" spans="1:12" ht="27" customHeight="1" thickBot="1">
      <c r="A89" s="110" t="s">
        <v>55</v>
      </c>
      <c r="B89" s="111">
        <v>50</v>
      </c>
      <c r="D89" s="193" t="s">
        <v>56</v>
      </c>
      <c r="E89" s="194"/>
      <c r="F89" s="643" t="s">
        <v>57</v>
      </c>
      <c r="G89" s="645"/>
    </row>
    <row r="90" spans="1:12" ht="27" customHeight="1" thickBot="1">
      <c r="A90" s="112" t="s">
        <v>58</v>
      </c>
      <c r="B90" s="113">
        <v>1</v>
      </c>
      <c r="C90" s="195" t="s">
        <v>59</v>
      </c>
      <c r="D90" s="115" t="s">
        <v>60</v>
      </c>
      <c r="E90" s="116" t="s">
        <v>61</v>
      </c>
      <c r="F90" s="115" t="s">
        <v>60</v>
      </c>
      <c r="G90" s="196" t="s">
        <v>61</v>
      </c>
      <c r="I90" s="118" t="s">
        <v>62</v>
      </c>
    </row>
    <row r="91" spans="1:12" ht="26.25" customHeight="1">
      <c r="A91" s="112" t="s">
        <v>63</v>
      </c>
      <c r="B91" s="113">
        <v>1</v>
      </c>
      <c r="C91" s="197">
        <v>1</v>
      </c>
      <c r="D91" s="120">
        <v>76442268</v>
      </c>
      <c r="E91" s="121">
        <f>IF(ISBLANK(D91),"-",$D$101/$D$98*D91)</f>
        <v>74299663.827647522</v>
      </c>
      <c r="F91" s="120">
        <v>69666184</v>
      </c>
      <c r="G91" s="122">
        <f>IF(ISBLANK(F91),"-",$D$101/$F$98*F91)</f>
        <v>73809140.248226464</v>
      </c>
      <c r="I91" s="123"/>
    </row>
    <row r="92" spans="1:12" ht="26.25" customHeight="1">
      <c r="A92" s="112" t="s">
        <v>64</v>
      </c>
      <c r="B92" s="113">
        <v>1</v>
      </c>
      <c r="C92" s="141">
        <v>2</v>
      </c>
      <c r="D92" s="125">
        <v>76602979</v>
      </c>
      <c r="E92" s="126">
        <f>IF(ISBLANK(D92),"-",$D$101/$D$98*D92)</f>
        <v>74455870.250949949</v>
      </c>
      <c r="F92" s="125">
        <v>69294455</v>
      </c>
      <c r="G92" s="127">
        <f>IF(ISBLANK(F92),"-",$D$101/$F$98*F92)</f>
        <v>73415305.013970867</v>
      </c>
      <c r="I92" s="646">
        <f>ABS((F96/D96*D95)-F95)/D95</f>
        <v>6.9171765164186307E-3</v>
      </c>
    </row>
    <row r="93" spans="1:12" ht="26.25" customHeight="1">
      <c r="A93" s="112" t="s">
        <v>65</v>
      </c>
      <c r="B93" s="113">
        <v>1</v>
      </c>
      <c r="C93" s="141">
        <v>3</v>
      </c>
      <c r="D93" s="125">
        <v>76126865</v>
      </c>
      <c r="E93" s="126">
        <f>IF(ISBLANK(D93),"-",$D$101/$D$98*D93)</f>
        <v>73993101.274189129</v>
      </c>
      <c r="F93" s="125">
        <v>69699743</v>
      </c>
      <c r="G93" s="127">
        <f>IF(ISBLANK(F93),"-",$D$101/$F$98*F93)</f>
        <v>73844694.957776651</v>
      </c>
      <c r="I93" s="646"/>
    </row>
    <row r="94" spans="1:12" ht="27" customHeight="1" thickBot="1">
      <c r="A94" s="112" t="s">
        <v>66</v>
      </c>
      <c r="B94" s="113">
        <v>1</v>
      </c>
      <c r="C94" s="198">
        <v>4</v>
      </c>
      <c r="D94" s="129"/>
      <c r="E94" s="130" t="str">
        <f>IF(ISBLANK(D94),"-",$D$101/$D$98*D94)</f>
        <v>-</v>
      </c>
      <c r="F94" s="199"/>
      <c r="G94" s="131" t="str">
        <f>IF(ISBLANK(F94),"-",$D$101/$F$98*F94)</f>
        <v>-</v>
      </c>
      <c r="I94" s="132"/>
    </row>
    <row r="95" spans="1:12" ht="27" customHeight="1" thickBot="1">
      <c r="A95" s="112" t="s">
        <v>67</v>
      </c>
      <c r="B95" s="113">
        <v>1</v>
      </c>
      <c r="C95" s="97" t="s">
        <v>68</v>
      </c>
      <c r="D95" s="200">
        <f>AVERAGE(D91:D94)</f>
        <v>76390704</v>
      </c>
      <c r="E95" s="135">
        <f>AVERAGE(E91:E94)</f>
        <v>74249545.117595538</v>
      </c>
      <c r="F95" s="201">
        <f>AVERAGE(F91:F94)</f>
        <v>69553460.666666672</v>
      </c>
      <c r="G95" s="202">
        <f>AVERAGE(G91:G94)</f>
        <v>73689713.406657994</v>
      </c>
    </row>
    <row r="96" spans="1:12" ht="26.25" customHeight="1">
      <c r="A96" s="112" t="s">
        <v>69</v>
      </c>
      <c r="B96" s="98">
        <v>1</v>
      </c>
      <c r="C96" s="203" t="s">
        <v>110</v>
      </c>
      <c r="D96" s="204">
        <v>15.62</v>
      </c>
      <c r="E96" s="87"/>
      <c r="F96" s="138">
        <v>14.33</v>
      </c>
    </row>
    <row r="97" spans="1:10" ht="26.25" customHeight="1">
      <c r="A97" s="112" t="s">
        <v>71</v>
      </c>
      <c r="B97" s="98">
        <v>1</v>
      </c>
      <c r="C97" s="205" t="s">
        <v>111</v>
      </c>
      <c r="D97" s="206">
        <f>D96*$B$87</f>
        <v>15.62</v>
      </c>
      <c r="E97" s="141"/>
      <c r="F97" s="140">
        <f>F96*$B$87</f>
        <v>14.33</v>
      </c>
    </row>
    <row r="98" spans="1:10" ht="19.5" customHeight="1" thickBot="1">
      <c r="A98" s="112" t="s">
        <v>73</v>
      </c>
      <c r="B98" s="141">
        <f>(B97/B96)*(B95/B94)*(B93/B92)*(B91/B90)*B89</f>
        <v>50</v>
      </c>
      <c r="C98" s="205" t="s">
        <v>112</v>
      </c>
      <c r="D98" s="207">
        <f>D97*$B$83/100</f>
        <v>15.432559999999999</v>
      </c>
      <c r="E98" s="143"/>
      <c r="F98" s="142">
        <f>F97*$B$83/100</f>
        <v>14.158039999999998</v>
      </c>
    </row>
    <row r="99" spans="1:10" ht="19.5" customHeight="1" thickBot="1">
      <c r="A99" s="647" t="s">
        <v>75</v>
      </c>
      <c r="B99" s="664"/>
      <c r="C99" s="205" t="s">
        <v>113</v>
      </c>
      <c r="D99" s="208">
        <f>D98/$B$98</f>
        <v>0.30865119999999996</v>
      </c>
      <c r="E99" s="143"/>
      <c r="F99" s="146">
        <f>F98/$B$98</f>
        <v>0.28316079999999993</v>
      </c>
      <c r="H99" s="36"/>
    </row>
    <row r="100" spans="1:10" ht="19.5" customHeight="1" thickBot="1">
      <c r="A100" s="649"/>
      <c r="B100" s="665"/>
      <c r="C100" s="205" t="s">
        <v>77</v>
      </c>
      <c r="D100" s="209">
        <f>$B$56/$B$116</f>
        <v>0.3</v>
      </c>
      <c r="F100" s="151"/>
      <c r="G100" s="210"/>
      <c r="H100" s="36"/>
    </row>
    <row r="101" spans="1:10" ht="18.75">
      <c r="C101" s="205" t="s">
        <v>78</v>
      </c>
      <c r="D101" s="206">
        <f>D100*$B$98</f>
        <v>15</v>
      </c>
      <c r="F101" s="151"/>
      <c r="H101" s="36"/>
    </row>
    <row r="102" spans="1:10" ht="19.5" customHeight="1" thickBot="1">
      <c r="C102" s="211" t="s">
        <v>79</v>
      </c>
      <c r="D102" s="212">
        <f>D101/B34</f>
        <v>15</v>
      </c>
      <c r="F102" s="155"/>
      <c r="H102" s="36"/>
      <c r="J102" s="213"/>
    </row>
    <row r="103" spans="1:10" ht="18.75">
      <c r="C103" s="214" t="s">
        <v>114</v>
      </c>
      <c r="D103" s="215">
        <f>AVERAGE(E91:E94,G91:G94)</f>
        <v>73969629.262126759</v>
      </c>
      <c r="F103" s="155"/>
      <c r="G103" s="210"/>
      <c r="H103" s="36"/>
      <c r="J103" s="216"/>
    </row>
    <row r="104" spans="1:10" ht="18.75">
      <c r="C104" s="188" t="s">
        <v>81</v>
      </c>
      <c r="D104" s="217">
        <f>STDEV(E91:E94,G91:G94)/D103</f>
        <v>5.0386206760076966E-3</v>
      </c>
      <c r="F104" s="155"/>
      <c r="H104" s="36"/>
      <c r="J104" s="216"/>
    </row>
    <row r="105" spans="1:10" ht="19.5" customHeight="1" thickBot="1">
      <c r="C105" s="190" t="s">
        <v>17</v>
      </c>
      <c r="D105" s="218">
        <f>COUNT(E91:E94,G91:G94)</f>
        <v>6</v>
      </c>
      <c r="F105" s="155"/>
      <c r="H105" s="36"/>
      <c r="J105" s="216"/>
    </row>
    <row r="106" spans="1:10" ht="19.5" customHeight="1" thickBot="1">
      <c r="A106" s="159"/>
      <c r="B106" s="159"/>
      <c r="C106" s="159"/>
      <c r="D106" s="159"/>
      <c r="E106" s="159"/>
    </row>
    <row r="107" spans="1:10" ht="26.25" customHeight="1">
      <c r="A107" s="110" t="s">
        <v>115</v>
      </c>
      <c r="B107" s="111">
        <v>1000</v>
      </c>
      <c r="C107" s="193" t="s">
        <v>116</v>
      </c>
      <c r="D107" s="219" t="s">
        <v>60</v>
      </c>
      <c r="E107" s="220" t="s">
        <v>117</v>
      </c>
      <c r="F107" s="221" t="s">
        <v>118</v>
      </c>
    </row>
    <row r="108" spans="1:10" ht="26.25" customHeight="1">
      <c r="A108" s="112" t="s">
        <v>119</v>
      </c>
      <c r="B108" s="113">
        <v>1</v>
      </c>
      <c r="C108" s="222">
        <v>1</v>
      </c>
      <c r="D108" s="223">
        <v>70628870</v>
      </c>
      <c r="E108" s="224">
        <f t="shared" ref="E108:E113" si="1">IF(ISBLANK(D108),"-",D108/$D$103*$D$100*$B$116)</f>
        <v>286.45082057818047</v>
      </c>
      <c r="F108" s="225">
        <f t="shared" ref="F108:F113" si="2">IF(ISBLANK(D108), "-", E108/$B$56)</f>
        <v>0.95483606859393488</v>
      </c>
    </row>
    <row r="109" spans="1:10" ht="26.25" customHeight="1">
      <c r="A109" s="112" t="s">
        <v>92</v>
      </c>
      <c r="B109" s="113">
        <v>1</v>
      </c>
      <c r="C109" s="222">
        <v>2</v>
      </c>
      <c r="D109" s="223">
        <v>66156482</v>
      </c>
      <c r="E109" s="226">
        <f t="shared" si="1"/>
        <v>268.31207345474485</v>
      </c>
      <c r="F109" s="227">
        <f t="shared" si="2"/>
        <v>0.89437357818248286</v>
      </c>
    </row>
    <row r="110" spans="1:10" ht="26.25" customHeight="1">
      <c r="A110" s="112" t="s">
        <v>93</v>
      </c>
      <c r="B110" s="113">
        <v>1</v>
      </c>
      <c r="C110" s="222">
        <v>3</v>
      </c>
      <c r="D110" s="223">
        <v>71343912</v>
      </c>
      <c r="E110" s="226">
        <f t="shared" si="1"/>
        <v>289.35082970543766</v>
      </c>
      <c r="F110" s="227">
        <f t="shared" si="2"/>
        <v>0.96450276568479221</v>
      </c>
    </row>
    <row r="111" spans="1:10" ht="26.25" customHeight="1">
      <c r="A111" s="112" t="s">
        <v>94</v>
      </c>
      <c r="B111" s="113">
        <v>1</v>
      </c>
      <c r="C111" s="222">
        <v>4</v>
      </c>
      <c r="D111" s="223">
        <v>66179187</v>
      </c>
      <c r="E111" s="226">
        <f t="shared" si="1"/>
        <v>268.40415854517926</v>
      </c>
      <c r="F111" s="227">
        <f t="shared" si="2"/>
        <v>0.89468052848393087</v>
      </c>
    </row>
    <row r="112" spans="1:10" ht="26.25" customHeight="1">
      <c r="A112" s="112" t="s">
        <v>95</v>
      </c>
      <c r="B112" s="113">
        <v>1</v>
      </c>
      <c r="C112" s="222">
        <v>5</v>
      </c>
      <c r="D112" s="223">
        <v>71346755</v>
      </c>
      <c r="E112" s="226">
        <f t="shared" si="1"/>
        <v>289.36236011337007</v>
      </c>
      <c r="F112" s="227">
        <f t="shared" si="2"/>
        <v>0.96454120037790025</v>
      </c>
    </row>
    <row r="113" spans="1:10" ht="26.25" customHeight="1">
      <c r="A113" s="112" t="s">
        <v>97</v>
      </c>
      <c r="B113" s="113">
        <v>1</v>
      </c>
      <c r="C113" s="228">
        <v>6</v>
      </c>
      <c r="D113" s="229">
        <v>70472800</v>
      </c>
      <c r="E113" s="230">
        <f t="shared" si="1"/>
        <v>285.81784457888102</v>
      </c>
      <c r="F113" s="231">
        <f t="shared" si="2"/>
        <v>0.95272614859627003</v>
      </c>
    </row>
    <row r="114" spans="1:10" ht="26.25" customHeight="1">
      <c r="A114" s="112" t="s">
        <v>98</v>
      </c>
      <c r="B114" s="113">
        <v>1</v>
      </c>
      <c r="C114" s="222"/>
      <c r="D114" s="141"/>
      <c r="E114" s="87"/>
      <c r="F114" s="232"/>
    </row>
    <row r="115" spans="1:10" ht="26.25" customHeight="1">
      <c r="A115" s="112" t="s">
        <v>99</v>
      </c>
      <c r="B115" s="113">
        <v>1</v>
      </c>
      <c r="C115" s="222"/>
      <c r="D115" s="233" t="s">
        <v>68</v>
      </c>
      <c r="E115" s="234">
        <f>AVERAGE(E108:E113)</f>
        <v>281.28301449596557</v>
      </c>
      <c r="F115" s="235">
        <f>AVERAGE(F108:F113)</f>
        <v>0.93761004831988515</v>
      </c>
    </row>
    <row r="116" spans="1:10" ht="27" customHeight="1" thickBot="1">
      <c r="A116" s="112" t="s">
        <v>100</v>
      </c>
      <c r="B116" s="124">
        <f>(B115/B114)*(B113/B112)*(B111/B110)*(B109/B108)*B107</f>
        <v>1000</v>
      </c>
      <c r="C116" s="236"/>
      <c r="D116" s="97" t="s">
        <v>81</v>
      </c>
      <c r="E116" s="237">
        <f>STDEV(E108:E113)/E115</f>
        <v>3.5966566363657186E-2</v>
      </c>
      <c r="F116" s="237">
        <f>STDEV(F108:F113)/F115</f>
        <v>3.5966566363662494E-2</v>
      </c>
      <c r="I116" s="87"/>
    </row>
    <row r="117" spans="1:10" ht="27" customHeight="1" thickBot="1">
      <c r="A117" s="647" t="s">
        <v>75</v>
      </c>
      <c r="B117" s="648"/>
      <c r="C117" s="238"/>
      <c r="D117" s="239" t="s">
        <v>17</v>
      </c>
      <c r="E117" s="240">
        <f>COUNT(E108:E113)</f>
        <v>6</v>
      </c>
      <c r="F117" s="240">
        <f>COUNT(F108:F113)</f>
        <v>6</v>
      </c>
      <c r="I117" s="87"/>
      <c r="J117" s="216"/>
    </row>
    <row r="118" spans="1:10" ht="19.5" customHeight="1" thickBot="1">
      <c r="A118" s="649"/>
      <c r="B118" s="650"/>
      <c r="C118" s="87"/>
      <c r="D118" s="87"/>
      <c r="E118" s="87"/>
      <c r="F118" s="141"/>
      <c r="G118" s="87"/>
      <c r="H118" s="87"/>
      <c r="I118" s="87"/>
    </row>
    <row r="119" spans="1:10" ht="18.75">
      <c r="A119" s="241"/>
      <c r="B119" s="108"/>
      <c r="C119" s="87"/>
      <c r="D119" s="87"/>
      <c r="E119" s="87"/>
      <c r="F119" s="141"/>
      <c r="G119" s="87"/>
      <c r="H119" s="87"/>
      <c r="I119" s="87"/>
    </row>
    <row r="120" spans="1:10" ht="26.25" customHeight="1">
      <c r="A120" s="96" t="s">
        <v>103</v>
      </c>
      <c r="B120" s="97" t="s">
        <v>120</v>
      </c>
      <c r="C120" s="663" t="str">
        <f>B20</f>
        <v xml:space="preserve">Tenofovir Disoproxil Fumarate 300mg, Lamivudine 300mg &amp; Efavirenz 600mg </v>
      </c>
      <c r="D120" s="663"/>
      <c r="E120" s="87" t="s">
        <v>121</v>
      </c>
      <c r="F120" s="87"/>
      <c r="G120" s="192">
        <f>F115</f>
        <v>0.93761004831988515</v>
      </c>
      <c r="H120" s="87"/>
      <c r="I120" s="87"/>
    </row>
    <row r="121" spans="1:10" ht="19.5" customHeight="1" thickBot="1">
      <c r="A121" s="242"/>
      <c r="B121" s="242"/>
      <c r="C121" s="243"/>
      <c r="D121" s="243"/>
      <c r="E121" s="243"/>
      <c r="F121" s="243"/>
      <c r="G121" s="243"/>
      <c r="H121" s="243"/>
    </row>
    <row r="122" spans="1:10" ht="18.75">
      <c r="B122" s="666" t="s">
        <v>23</v>
      </c>
      <c r="C122" s="666"/>
      <c r="E122" s="195" t="s">
        <v>24</v>
      </c>
      <c r="F122" s="244"/>
      <c r="G122" s="666" t="s">
        <v>25</v>
      </c>
      <c r="H122" s="666"/>
    </row>
    <row r="123" spans="1:10" ht="69.95" customHeight="1">
      <c r="A123" s="96" t="s">
        <v>26</v>
      </c>
      <c r="B123" s="245"/>
      <c r="C123" s="245"/>
      <c r="E123" s="245"/>
      <c r="F123" s="87"/>
      <c r="G123" s="245"/>
      <c r="H123" s="245"/>
    </row>
    <row r="124" spans="1:10" ht="69.95" customHeight="1">
      <c r="A124" s="96" t="s">
        <v>27</v>
      </c>
      <c r="B124" s="246"/>
      <c r="C124" s="246"/>
      <c r="E124" s="246"/>
      <c r="F124" s="87"/>
      <c r="G124" s="247"/>
      <c r="H124" s="247"/>
    </row>
    <row r="125" spans="1:10" ht="18.75">
      <c r="A125" s="141"/>
      <c r="B125" s="141"/>
      <c r="C125" s="141"/>
      <c r="D125" s="141"/>
      <c r="E125" s="141"/>
      <c r="F125" s="143"/>
      <c r="G125" s="141"/>
      <c r="H125" s="141"/>
      <c r="I125" s="87"/>
    </row>
    <row r="126" spans="1:10" ht="18.75">
      <c r="A126" s="141"/>
      <c r="B126" s="141"/>
      <c r="C126" s="141"/>
      <c r="D126" s="141"/>
      <c r="E126" s="141"/>
      <c r="F126" s="143"/>
      <c r="G126" s="141"/>
      <c r="H126" s="141"/>
      <c r="I126" s="87"/>
    </row>
    <row r="127" spans="1:10" ht="18.75">
      <c r="A127" s="141"/>
      <c r="B127" s="141"/>
      <c r="C127" s="141"/>
      <c r="D127" s="141"/>
      <c r="E127" s="141"/>
      <c r="F127" s="143"/>
      <c r="G127" s="141"/>
      <c r="H127" s="141"/>
      <c r="I127" s="87"/>
    </row>
    <row r="128" spans="1:10" ht="18.75">
      <c r="A128" s="141"/>
      <c r="B128" s="141"/>
      <c r="C128" s="141"/>
      <c r="D128" s="141"/>
      <c r="E128" s="141"/>
      <c r="F128" s="143"/>
      <c r="G128" s="141"/>
      <c r="H128" s="141"/>
      <c r="I128" s="87"/>
    </row>
    <row r="129" spans="1:9" ht="18.75">
      <c r="A129" s="141"/>
      <c r="B129" s="141"/>
      <c r="C129" s="141"/>
      <c r="D129" s="141"/>
      <c r="E129" s="141"/>
      <c r="F129" s="143"/>
      <c r="G129" s="141"/>
      <c r="H129" s="141"/>
      <c r="I129" s="87"/>
    </row>
    <row r="130" spans="1:9" ht="18.75">
      <c r="A130" s="141"/>
      <c r="B130" s="141"/>
      <c r="C130" s="141"/>
      <c r="D130" s="141"/>
      <c r="E130" s="141"/>
      <c r="F130" s="143"/>
      <c r="G130" s="141"/>
      <c r="H130" s="141"/>
      <c r="I130" s="87"/>
    </row>
    <row r="131" spans="1:9" ht="18.75">
      <c r="A131" s="141"/>
      <c r="B131" s="141"/>
      <c r="C131" s="141"/>
      <c r="D131" s="141"/>
      <c r="E131" s="141"/>
      <c r="F131" s="143"/>
      <c r="G131" s="141"/>
      <c r="H131" s="141"/>
      <c r="I131" s="87"/>
    </row>
    <row r="132" spans="1:9" ht="18.75">
      <c r="A132" s="141"/>
      <c r="B132" s="141"/>
      <c r="C132" s="141"/>
      <c r="D132" s="141"/>
      <c r="E132" s="141"/>
      <c r="F132" s="143"/>
      <c r="G132" s="141"/>
      <c r="H132" s="141"/>
      <c r="I132" s="87"/>
    </row>
    <row r="133" spans="1:9" ht="18.75">
      <c r="A133" s="141"/>
      <c r="B133" s="141"/>
      <c r="C133" s="141"/>
      <c r="D133" s="141"/>
      <c r="E133" s="141"/>
      <c r="F133" s="143"/>
      <c r="G133" s="141"/>
      <c r="H133" s="141"/>
      <c r="I133" s="87"/>
    </row>
    <row r="250" spans="1:1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I49"/>
  <sheetViews>
    <sheetView view="pageBreakPreview" zoomScale="60" workbookViewId="0">
      <selection activeCell="B31" sqref="B31"/>
    </sheetView>
  </sheetViews>
  <sheetFormatPr defaultRowHeight="13.5"/>
  <cols>
    <col min="1" max="1" width="27.5703125" style="44" customWidth="1"/>
    <col min="2" max="2" width="20.42578125" style="44" customWidth="1"/>
    <col min="3" max="3" width="31.85546875" style="44" customWidth="1"/>
    <col min="4" max="4" width="25.85546875" style="44" customWidth="1"/>
    <col min="5" max="5" width="25.7109375" style="44" customWidth="1"/>
    <col min="6" max="6" width="23.140625" style="44" customWidth="1"/>
    <col min="7" max="7" width="28.42578125" style="44" customWidth="1"/>
    <col min="8" max="8" width="21.5703125" style="44" customWidth="1"/>
    <col min="9" max="9" width="9.140625" style="44" customWidth="1"/>
    <col min="10" max="16384" width="9.140625" style="80"/>
  </cols>
  <sheetData>
    <row r="3" spans="1:5" ht="18.75" customHeight="1">
      <c r="A3" s="667" t="s">
        <v>0</v>
      </c>
      <c r="B3" s="667"/>
      <c r="C3" s="667"/>
      <c r="D3" s="667"/>
      <c r="E3" s="667"/>
    </row>
    <row r="4" spans="1:5" ht="16.5" customHeight="1">
      <c r="A4" s="45" t="s">
        <v>1</v>
      </c>
      <c r="B4" s="46" t="s">
        <v>2</v>
      </c>
    </row>
    <row r="5" spans="1:5" ht="16.5" customHeight="1">
      <c r="A5" s="47" t="s">
        <v>3</v>
      </c>
      <c r="B5" s="47" t="s">
        <v>122</v>
      </c>
      <c r="D5" s="48"/>
      <c r="E5" s="49"/>
    </row>
    <row r="6" spans="1:5" ht="16.5" customHeight="1">
      <c r="A6" s="50" t="s">
        <v>4</v>
      </c>
      <c r="B6" s="51" t="s">
        <v>126</v>
      </c>
      <c r="C6" s="49"/>
      <c r="D6" s="49"/>
      <c r="E6" s="49"/>
    </row>
    <row r="7" spans="1:5" ht="16.5" customHeight="1">
      <c r="A7" s="50" t="s">
        <v>6</v>
      </c>
      <c r="B7" s="48">
        <v>100</v>
      </c>
      <c r="C7" s="49"/>
      <c r="D7" s="49"/>
      <c r="E7" s="49"/>
    </row>
    <row r="8" spans="1:5" ht="16.5" customHeight="1">
      <c r="A8" s="47" t="s">
        <v>7</v>
      </c>
      <c r="B8" s="51">
        <f>Lamivudine!D43</f>
        <v>14.53</v>
      </c>
      <c r="C8" s="49"/>
      <c r="D8" s="49"/>
      <c r="E8" s="49"/>
    </row>
    <row r="9" spans="1:5" ht="16.5" customHeight="1">
      <c r="A9" s="47" t="s">
        <v>8</v>
      </c>
      <c r="B9" s="52">
        <f>B8/50*10/25</f>
        <v>0.11623999999999998</v>
      </c>
      <c r="C9" s="49"/>
      <c r="D9" s="49"/>
      <c r="E9" s="49"/>
    </row>
    <row r="10" spans="1:5" ht="15.75" customHeight="1">
      <c r="A10" s="49"/>
      <c r="B10" s="53"/>
      <c r="C10" s="49"/>
      <c r="D10" s="49"/>
      <c r="E10" s="49"/>
    </row>
    <row r="11" spans="1:5" ht="16.5" customHeight="1">
      <c r="A11" s="54" t="s">
        <v>10</v>
      </c>
      <c r="B11" s="55" t="s">
        <v>11</v>
      </c>
      <c r="C11" s="54" t="s">
        <v>12</v>
      </c>
      <c r="D11" s="54" t="s">
        <v>13</v>
      </c>
      <c r="E11" s="54" t="s">
        <v>14</v>
      </c>
    </row>
    <row r="12" spans="1:5" ht="16.5" customHeight="1">
      <c r="A12" s="56">
        <v>1</v>
      </c>
      <c r="B12" s="57">
        <v>44551264</v>
      </c>
      <c r="C12" s="57">
        <v>7173.6</v>
      </c>
      <c r="D12" s="58">
        <v>1.1000000000000001</v>
      </c>
      <c r="E12" s="59">
        <v>4.3</v>
      </c>
    </row>
    <row r="13" spans="1:5" ht="16.5" customHeight="1">
      <c r="A13" s="56">
        <v>2</v>
      </c>
      <c r="B13" s="57">
        <v>44698997</v>
      </c>
      <c r="C13" s="57">
        <v>7178.1</v>
      </c>
      <c r="D13" s="58">
        <v>1.1000000000000001</v>
      </c>
      <c r="E13" s="58">
        <v>4.3</v>
      </c>
    </row>
    <row r="14" spans="1:5" ht="16.5" customHeight="1">
      <c r="A14" s="56">
        <v>3</v>
      </c>
      <c r="B14" s="57">
        <v>44635849</v>
      </c>
      <c r="C14" s="57">
        <v>7269.1</v>
      </c>
      <c r="D14" s="58">
        <v>1.1000000000000001</v>
      </c>
      <c r="E14" s="58">
        <v>4.3</v>
      </c>
    </row>
    <row r="15" spans="1:5" ht="16.5" customHeight="1">
      <c r="A15" s="56">
        <v>4</v>
      </c>
      <c r="B15" s="57">
        <v>44509519</v>
      </c>
      <c r="C15" s="57">
        <v>7279.2</v>
      </c>
      <c r="D15" s="58">
        <v>1.1000000000000001</v>
      </c>
      <c r="E15" s="58">
        <v>4.3</v>
      </c>
    </row>
    <row r="16" spans="1:5" ht="16.5" customHeight="1">
      <c r="A16" s="56">
        <v>5</v>
      </c>
      <c r="B16" s="57">
        <v>44563632</v>
      </c>
      <c r="C16" s="57">
        <v>7379.4</v>
      </c>
      <c r="D16" s="58">
        <v>1.1000000000000001</v>
      </c>
      <c r="E16" s="58">
        <v>4.3</v>
      </c>
    </row>
    <row r="17" spans="1:5" ht="16.5" customHeight="1">
      <c r="A17" s="56">
        <v>6</v>
      </c>
      <c r="B17" s="60">
        <v>44561537</v>
      </c>
      <c r="C17" s="60">
        <v>7346</v>
      </c>
      <c r="D17" s="61">
        <v>1.1000000000000001</v>
      </c>
      <c r="E17" s="61">
        <v>4.3</v>
      </c>
    </row>
    <row r="18" spans="1:5" ht="16.5" customHeight="1">
      <c r="A18" s="62" t="s">
        <v>15</v>
      </c>
      <c r="B18" s="63">
        <f>AVERAGE(B12:B17)</f>
        <v>44586799.666666664</v>
      </c>
      <c r="C18" s="64">
        <f>AVERAGE(C12:C17)</f>
        <v>7270.9000000000005</v>
      </c>
      <c r="D18" s="65">
        <f>AVERAGE(D12:D17)</f>
        <v>1.0999999999999999</v>
      </c>
      <c r="E18" s="65">
        <f>AVERAGE(E12:E17)</f>
        <v>4.3</v>
      </c>
    </row>
    <row r="19" spans="1:5" ht="16.5" customHeight="1">
      <c r="A19" s="66" t="s">
        <v>16</v>
      </c>
      <c r="B19" s="67">
        <f>(STDEV(B12:B17)/B18)</f>
        <v>1.5344570368707594E-3</v>
      </c>
      <c r="C19" s="68"/>
      <c r="D19" s="68"/>
      <c r="E19" s="69"/>
    </row>
    <row r="20" spans="1:5" s="44" customFormat="1" ht="16.5" customHeight="1">
      <c r="A20" s="70" t="s">
        <v>17</v>
      </c>
      <c r="B20" s="71">
        <f>COUNT(B12:B17)</f>
        <v>6</v>
      </c>
      <c r="C20" s="72"/>
      <c r="D20" s="73"/>
      <c r="E20" s="74"/>
    </row>
    <row r="21" spans="1:5" s="44" customFormat="1" ht="15.75" customHeight="1">
      <c r="A21" s="49"/>
      <c r="B21" s="49"/>
      <c r="C21" s="49"/>
      <c r="D21" s="49"/>
      <c r="E21" s="49"/>
    </row>
    <row r="22" spans="1:5" s="44" customFormat="1" ht="16.5" customHeight="1">
      <c r="A22" s="50" t="s">
        <v>18</v>
      </c>
      <c r="B22" s="75" t="s">
        <v>19</v>
      </c>
      <c r="C22" s="76"/>
      <c r="D22" s="76"/>
      <c r="E22" s="76"/>
    </row>
    <row r="23" spans="1:5" ht="16.5" customHeight="1">
      <c r="A23" s="50"/>
      <c r="B23" s="75" t="s">
        <v>20</v>
      </c>
      <c r="C23" s="76"/>
      <c r="D23" s="76"/>
      <c r="E23" s="76"/>
    </row>
    <row r="24" spans="1:5" ht="16.5" customHeight="1">
      <c r="A24" s="50"/>
      <c r="B24" s="75" t="s">
        <v>21</v>
      </c>
      <c r="C24" s="76"/>
      <c r="D24" s="76"/>
      <c r="E24" s="76"/>
    </row>
    <row r="25" spans="1:5" ht="15.75" customHeight="1">
      <c r="A25" s="49"/>
      <c r="B25" s="49"/>
      <c r="C25" s="49"/>
      <c r="D25" s="49"/>
      <c r="E25" s="49"/>
    </row>
    <row r="26" spans="1:5" ht="16.5" customHeight="1">
      <c r="A26" s="45" t="s">
        <v>1</v>
      </c>
      <c r="B26" s="46" t="s">
        <v>22</v>
      </c>
    </row>
    <row r="27" spans="1:5" ht="16.5" customHeight="1">
      <c r="A27" s="50" t="s">
        <v>4</v>
      </c>
      <c r="B27" s="47" t="s">
        <v>126</v>
      </c>
      <c r="C27" s="49"/>
      <c r="D27" s="49"/>
      <c r="E27" s="49"/>
    </row>
    <row r="28" spans="1:5" ht="16.5" customHeight="1">
      <c r="A28" s="50" t="s">
        <v>6</v>
      </c>
      <c r="B28" s="51">
        <v>100</v>
      </c>
      <c r="C28" s="49"/>
      <c r="D28" s="49"/>
      <c r="E28" s="49"/>
    </row>
    <row r="29" spans="1:5" ht="16.5" customHeight="1">
      <c r="A29" s="47" t="s">
        <v>7</v>
      </c>
      <c r="B29" s="51">
        <f>Lamivudine!D96</f>
        <v>14.47</v>
      </c>
      <c r="C29" s="49"/>
      <c r="D29" s="49"/>
      <c r="E29" s="49"/>
    </row>
    <row r="30" spans="1:5" ht="16.5" customHeight="1">
      <c r="A30" s="47" t="s">
        <v>8</v>
      </c>
      <c r="B30" s="52">
        <f>B29/50</f>
        <v>0.28939999999999999</v>
      </c>
      <c r="C30" s="49"/>
      <c r="D30" s="49"/>
      <c r="E30" s="49"/>
    </row>
    <row r="31" spans="1:5" ht="15.75" customHeight="1">
      <c r="A31" s="49"/>
      <c r="B31" s="49"/>
      <c r="C31" s="49"/>
      <c r="D31" s="49"/>
      <c r="E31" s="49"/>
    </row>
    <row r="32" spans="1:5" ht="16.5" customHeight="1">
      <c r="A32" s="54" t="s">
        <v>10</v>
      </c>
      <c r="B32" s="55" t="s">
        <v>11</v>
      </c>
      <c r="C32" s="54" t="s">
        <v>12</v>
      </c>
      <c r="D32" s="54" t="s">
        <v>13</v>
      </c>
      <c r="E32" s="54" t="s">
        <v>14</v>
      </c>
    </row>
    <row r="33" spans="1:7" ht="16.5" customHeight="1">
      <c r="A33" s="56">
        <v>1</v>
      </c>
      <c r="B33" s="806">
        <v>102828813</v>
      </c>
      <c r="C33" s="806">
        <v>54385.5</v>
      </c>
      <c r="D33" s="807">
        <v>1.1399999999999999</v>
      </c>
      <c r="E33" s="808">
        <v>8.67</v>
      </c>
    </row>
    <row r="34" spans="1:7" ht="16.5" customHeight="1">
      <c r="A34" s="56">
        <v>2</v>
      </c>
      <c r="B34" s="806">
        <v>103025767</v>
      </c>
      <c r="C34" s="806">
        <v>54187.4</v>
      </c>
      <c r="D34" s="807">
        <v>1.1399999999999999</v>
      </c>
      <c r="E34" s="807">
        <v>8.68</v>
      </c>
    </row>
    <row r="35" spans="1:7" ht="16.5" customHeight="1">
      <c r="A35" s="56">
        <v>3</v>
      </c>
      <c r="B35" s="806">
        <v>103205212</v>
      </c>
      <c r="C35" s="806">
        <v>54048.800000000003</v>
      </c>
      <c r="D35" s="807">
        <v>1.1499999999999999</v>
      </c>
      <c r="E35" s="807">
        <v>8.69</v>
      </c>
    </row>
    <row r="36" spans="1:7" ht="16.5" customHeight="1">
      <c r="A36" s="56">
        <v>4</v>
      </c>
      <c r="B36" s="806">
        <v>103330759</v>
      </c>
      <c r="C36" s="806">
        <v>54758.8</v>
      </c>
      <c r="D36" s="807">
        <v>1.1399999999999999</v>
      </c>
      <c r="E36" s="807">
        <v>8.6999999999999993</v>
      </c>
    </row>
    <row r="37" spans="1:7" ht="16.5" customHeight="1">
      <c r="A37" s="56">
        <v>5</v>
      </c>
      <c r="B37" s="806">
        <v>103368456</v>
      </c>
      <c r="C37" s="806">
        <v>55923.5</v>
      </c>
      <c r="D37" s="807">
        <v>1.1499999999999999</v>
      </c>
      <c r="E37" s="807">
        <v>8.7100000000000009</v>
      </c>
    </row>
    <row r="38" spans="1:7" ht="16.5" customHeight="1">
      <c r="A38" s="56">
        <v>6</v>
      </c>
      <c r="B38" s="809">
        <v>103274432</v>
      </c>
      <c r="C38" s="809">
        <v>57869.7</v>
      </c>
      <c r="D38" s="810">
        <v>1.2</v>
      </c>
      <c r="E38" s="810">
        <v>8.7100000000000009</v>
      </c>
    </row>
    <row r="39" spans="1:7" ht="16.5" customHeight="1">
      <c r="A39" s="62" t="s">
        <v>15</v>
      </c>
      <c r="B39" s="63">
        <f>AVERAGE(B33:B38)</f>
        <v>103172239.83333333</v>
      </c>
      <c r="C39" s="64">
        <f>AVERAGE(C33:C38)</f>
        <v>55195.616666666669</v>
      </c>
      <c r="D39" s="65">
        <f>AVERAGE(D33:D38)</f>
        <v>1.1533333333333331</v>
      </c>
      <c r="E39" s="65">
        <f>AVERAGE(E33:E38)</f>
        <v>8.6933333333333334</v>
      </c>
    </row>
    <row r="40" spans="1:7" ht="16.5" customHeight="1">
      <c r="A40" s="66" t="s">
        <v>16</v>
      </c>
      <c r="B40" s="67">
        <f>(STDEV(B33:B38)/B39)</f>
        <v>2.0078083776907127E-3</v>
      </c>
      <c r="C40" s="68"/>
      <c r="D40" s="68"/>
      <c r="E40" s="69"/>
    </row>
    <row r="41" spans="1:7" s="44" customFormat="1" ht="16.5" customHeight="1">
      <c r="A41" s="70" t="s">
        <v>17</v>
      </c>
      <c r="B41" s="71">
        <f>COUNT(B33:B38)</f>
        <v>6</v>
      </c>
      <c r="C41" s="72"/>
      <c r="D41" s="73"/>
      <c r="E41" s="74"/>
    </row>
    <row r="42" spans="1:7" s="44" customFormat="1" ht="15.75" customHeight="1">
      <c r="A42" s="49"/>
      <c r="B42" s="49"/>
      <c r="C42" s="49"/>
      <c r="D42" s="49"/>
      <c r="E42" s="49"/>
    </row>
    <row r="43" spans="1:7" s="44" customFormat="1" ht="16.5" customHeight="1">
      <c r="A43" s="50" t="s">
        <v>18</v>
      </c>
      <c r="B43" s="75" t="s">
        <v>19</v>
      </c>
      <c r="C43" s="76"/>
      <c r="D43" s="76"/>
      <c r="E43" s="76"/>
    </row>
    <row r="44" spans="1:7" ht="16.5" customHeight="1">
      <c r="A44" s="50"/>
      <c r="B44" s="75" t="s">
        <v>20</v>
      </c>
      <c r="C44" s="76"/>
      <c r="D44" s="76"/>
      <c r="E44" s="76"/>
    </row>
    <row r="45" spans="1:7" ht="16.5" customHeight="1">
      <c r="A45" s="50"/>
      <c r="B45" s="75" t="s">
        <v>21</v>
      </c>
      <c r="C45" s="76"/>
      <c r="D45" s="76"/>
      <c r="E45" s="76"/>
    </row>
    <row r="46" spans="1:7" ht="14.25" customHeight="1" thickBot="1">
      <c r="A46" s="77"/>
      <c r="B46" s="78"/>
      <c r="D46" s="79"/>
      <c r="F46" s="80"/>
      <c r="G46" s="80"/>
    </row>
    <row r="47" spans="1:7" ht="15" customHeight="1">
      <c r="B47" s="668" t="s">
        <v>23</v>
      </c>
      <c r="C47" s="668"/>
      <c r="E47" s="81" t="s">
        <v>24</v>
      </c>
      <c r="F47" s="82"/>
      <c r="G47" s="81" t="s">
        <v>25</v>
      </c>
    </row>
    <row r="48" spans="1:7" ht="15" customHeight="1">
      <c r="A48" s="83" t="s">
        <v>26</v>
      </c>
      <c r="B48" s="84"/>
      <c r="C48" s="84"/>
      <c r="E48" s="84"/>
      <c r="G48" s="84"/>
    </row>
    <row r="49" spans="1:7" ht="15" customHeight="1">
      <c r="A49" s="83" t="s">
        <v>27</v>
      </c>
      <c r="B49" s="85"/>
      <c r="C49" s="85"/>
      <c r="E49" s="85"/>
      <c r="G49" s="86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78" zoomScale="50" zoomScaleNormal="60" zoomScaleSheetLayoutView="50" zoomScalePageLayoutView="41" workbookViewId="0">
      <selection activeCell="D114" sqref="D114"/>
    </sheetView>
  </sheetViews>
  <sheetFormatPr defaultColWidth="9.140625" defaultRowHeight="13.5"/>
  <cols>
    <col min="1" max="1" width="55.42578125" style="248" customWidth="1"/>
    <col min="2" max="2" width="33.7109375" style="248" customWidth="1"/>
    <col min="3" max="3" width="42.28515625" style="248" customWidth="1"/>
    <col min="4" max="4" width="30.5703125" style="248" customWidth="1"/>
    <col min="5" max="5" width="39.85546875" style="248" customWidth="1"/>
    <col min="6" max="6" width="30.7109375" style="248" customWidth="1"/>
    <col min="7" max="7" width="39.85546875" style="248" customWidth="1"/>
    <col min="8" max="8" width="30" style="248" customWidth="1"/>
    <col min="9" max="9" width="30.28515625" style="248" hidden="1" customWidth="1"/>
    <col min="10" max="10" width="30.42578125" style="248" customWidth="1"/>
    <col min="11" max="11" width="21.28515625" style="248" customWidth="1"/>
    <col min="12" max="12" width="9.140625" style="248"/>
    <col min="13" max="16384" width="9.140625" style="250"/>
  </cols>
  <sheetData>
    <row r="1" spans="1:9" ht="18.75" customHeight="1">
      <c r="A1" s="672" t="s">
        <v>42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>
      <c r="A7" s="672"/>
      <c r="B7" s="672"/>
      <c r="C7" s="672"/>
      <c r="D7" s="672"/>
      <c r="E7" s="672"/>
      <c r="F7" s="672"/>
      <c r="G7" s="672"/>
      <c r="H7" s="672"/>
      <c r="I7" s="672"/>
    </row>
    <row r="8" spans="1:9">
      <c r="A8" s="673" t="s">
        <v>43</v>
      </c>
      <c r="B8" s="673"/>
      <c r="C8" s="673"/>
      <c r="D8" s="673"/>
      <c r="E8" s="673"/>
      <c r="F8" s="673"/>
      <c r="G8" s="673"/>
      <c r="H8" s="673"/>
      <c r="I8" s="673"/>
    </row>
    <row r="9" spans="1:9">
      <c r="A9" s="673"/>
      <c r="B9" s="673"/>
      <c r="C9" s="673"/>
      <c r="D9" s="673"/>
      <c r="E9" s="673"/>
      <c r="F9" s="673"/>
      <c r="G9" s="673"/>
      <c r="H9" s="673"/>
      <c r="I9" s="673"/>
    </row>
    <row r="10" spans="1:9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thickBot="1">
      <c r="A15" s="249"/>
    </row>
    <row r="16" spans="1:9" ht="19.5" customHeight="1" thickBot="1">
      <c r="A16" s="674" t="s">
        <v>28</v>
      </c>
      <c r="B16" s="675"/>
      <c r="C16" s="675"/>
      <c r="D16" s="675"/>
      <c r="E16" s="675"/>
      <c r="F16" s="675"/>
      <c r="G16" s="675"/>
      <c r="H16" s="676"/>
    </row>
    <row r="17" spans="1:14" ht="20.25" customHeight="1">
      <c r="A17" s="677" t="s">
        <v>44</v>
      </c>
      <c r="B17" s="677"/>
      <c r="C17" s="677"/>
      <c r="D17" s="677"/>
      <c r="E17" s="677"/>
      <c r="F17" s="677"/>
      <c r="G17" s="677"/>
      <c r="H17" s="677"/>
    </row>
    <row r="18" spans="1:14" ht="26.25" customHeight="1">
      <c r="A18" s="251" t="s">
        <v>30</v>
      </c>
      <c r="B18" s="678" t="s">
        <v>122</v>
      </c>
      <c r="C18" s="678"/>
      <c r="D18" s="252"/>
      <c r="E18" s="253"/>
      <c r="F18" s="254"/>
      <c r="G18" s="254"/>
      <c r="H18" s="254"/>
    </row>
    <row r="19" spans="1:14" ht="26.25" customHeight="1">
      <c r="A19" s="251" t="s">
        <v>31</v>
      </c>
      <c r="B19" s="255" t="str">
        <f>'Tenofovir Disoproxil Fumarate'!B19</f>
        <v>NDQB201607043</v>
      </c>
      <c r="C19" s="254">
        <v>29</v>
      </c>
      <c r="D19" s="254"/>
      <c r="E19" s="254"/>
      <c r="F19" s="254"/>
      <c r="G19" s="254"/>
      <c r="H19" s="254"/>
    </row>
    <row r="20" spans="1:14" ht="26.25" customHeight="1">
      <c r="A20" s="251" t="s">
        <v>32</v>
      </c>
      <c r="B20" s="679" t="s">
        <v>123</v>
      </c>
      <c r="C20" s="679"/>
      <c r="D20" s="254"/>
      <c r="E20" s="254"/>
      <c r="F20" s="254"/>
      <c r="G20" s="254"/>
      <c r="H20" s="254"/>
    </row>
    <row r="21" spans="1:14" ht="26.25" customHeight="1">
      <c r="A21" s="251" t="s">
        <v>33</v>
      </c>
      <c r="B21" s="679" t="s">
        <v>9</v>
      </c>
      <c r="C21" s="679"/>
      <c r="D21" s="679"/>
      <c r="E21" s="679"/>
      <c r="F21" s="679"/>
      <c r="G21" s="679"/>
      <c r="H21" s="679"/>
      <c r="I21" s="256"/>
    </row>
    <row r="22" spans="1:14" ht="26.25" customHeight="1">
      <c r="A22" s="251" t="s">
        <v>34</v>
      </c>
      <c r="B22" s="257">
        <f>'Tenofovir Disoproxil Fumarate'!B22</f>
        <v>42590</v>
      </c>
      <c r="C22" s="254"/>
      <c r="D22" s="254"/>
      <c r="E22" s="254"/>
      <c r="F22" s="254"/>
      <c r="G22" s="254"/>
      <c r="H22" s="254"/>
    </row>
    <row r="23" spans="1:14" ht="26.25" customHeight="1">
      <c r="A23" s="251" t="s">
        <v>35</v>
      </c>
      <c r="B23" s="257">
        <f>'Tenofovir Disoproxil Fumarate'!B23</f>
        <v>42643</v>
      </c>
      <c r="C23" s="254"/>
      <c r="D23" s="254"/>
      <c r="E23" s="254"/>
      <c r="F23" s="254"/>
      <c r="G23" s="254"/>
      <c r="H23" s="254"/>
    </row>
    <row r="24" spans="1:14" ht="18.75">
      <c r="A24" s="251"/>
      <c r="B24" s="258"/>
    </row>
    <row r="25" spans="1:14" ht="18.75">
      <c r="A25" s="259" t="s">
        <v>1</v>
      </c>
      <c r="B25" s="258"/>
    </row>
    <row r="26" spans="1:14" ht="26.25" customHeight="1">
      <c r="A26" s="260" t="s">
        <v>4</v>
      </c>
      <c r="B26" s="678" t="s">
        <v>126</v>
      </c>
      <c r="C26" s="678"/>
    </row>
    <row r="27" spans="1:14" ht="26.25" customHeight="1">
      <c r="A27" s="261" t="s">
        <v>45</v>
      </c>
      <c r="B27" s="680" t="s">
        <v>130</v>
      </c>
      <c r="C27" s="680"/>
    </row>
    <row r="28" spans="1:14" ht="27" customHeight="1" thickBot="1">
      <c r="A28" s="261" t="s">
        <v>6</v>
      </c>
      <c r="B28" s="262">
        <v>100</v>
      </c>
    </row>
    <row r="29" spans="1:14" s="264" customFormat="1" ht="27" customHeight="1" thickBot="1">
      <c r="A29" s="261" t="s">
        <v>46</v>
      </c>
      <c r="B29" s="263">
        <v>0</v>
      </c>
      <c r="C29" s="681" t="s">
        <v>47</v>
      </c>
      <c r="D29" s="682"/>
      <c r="E29" s="682"/>
      <c r="F29" s="682"/>
      <c r="G29" s="683"/>
      <c r="I29" s="265"/>
      <c r="J29" s="265"/>
      <c r="K29" s="265"/>
      <c r="L29" s="265"/>
    </row>
    <row r="30" spans="1:14" s="264" customFormat="1" ht="19.5" customHeight="1" thickBot="1">
      <c r="A30" s="261" t="s">
        <v>48</v>
      </c>
      <c r="B30" s="266">
        <f>B28-B29</f>
        <v>100</v>
      </c>
      <c r="C30" s="267"/>
      <c r="D30" s="267"/>
      <c r="E30" s="267"/>
      <c r="F30" s="267"/>
      <c r="G30" s="268"/>
      <c r="I30" s="265"/>
      <c r="J30" s="265"/>
      <c r="K30" s="265"/>
      <c r="L30" s="265"/>
    </row>
    <row r="31" spans="1:14" s="264" customFormat="1" ht="27" customHeight="1" thickBot="1">
      <c r="A31" s="261" t="s">
        <v>49</v>
      </c>
      <c r="B31" s="269">
        <v>1</v>
      </c>
      <c r="C31" s="669" t="s">
        <v>50</v>
      </c>
      <c r="D31" s="670"/>
      <c r="E31" s="670"/>
      <c r="F31" s="670"/>
      <c r="G31" s="670"/>
      <c r="H31" s="671"/>
      <c r="I31" s="265"/>
      <c r="J31" s="265"/>
      <c r="K31" s="265"/>
      <c r="L31" s="265"/>
    </row>
    <row r="32" spans="1:14" s="264" customFormat="1" ht="27" customHeight="1" thickBot="1">
      <c r="A32" s="261" t="s">
        <v>51</v>
      </c>
      <c r="B32" s="269">
        <v>1</v>
      </c>
      <c r="C32" s="669" t="s">
        <v>52</v>
      </c>
      <c r="D32" s="670"/>
      <c r="E32" s="670"/>
      <c r="F32" s="670"/>
      <c r="G32" s="670"/>
      <c r="H32" s="671"/>
      <c r="I32" s="265"/>
      <c r="J32" s="265"/>
      <c r="K32" s="265"/>
      <c r="L32" s="270"/>
      <c r="M32" s="270"/>
      <c r="N32" s="271"/>
    </row>
    <row r="33" spans="1:14" s="264" customFormat="1" ht="17.25" customHeight="1">
      <c r="A33" s="261"/>
      <c r="B33" s="272"/>
      <c r="C33" s="273"/>
      <c r="D33" s="273"/>
      <c r="E33" s="273"/>
      <c r="F33" s="273"/>
      <c r="G33" s="273"/>
      <c r="H33" s="273"/>
      <c r="I33" s="265"/>
      <c r="J33" s="265"/>
      <c r="K33" s="265"/>
      <c r="L33" s="270"/>
      <c r="M33" s="270"/>
      <c r="N33" s="271"/>
    </row>
    <row r="34" spans="1:14" s="264" customFormat="1" ht="18.75">
      <c r="A34" s="261" t="s">
        <v>53</v>
      </c>
      <c r="B34" s="274">
        <f>B31/B32</f>
        <v>1</v>
      </c>
      <c r="C34" s="249" t="s">
        <v>54</v>
      </c>
      <c r="D34" s="249"/>
      <c r="E34" s="249"/>
      <c r="F34" s="249"/>
      <c r="G34" s="249"/>
      <c r="I34" s="265"/>
      <c r="J34" s="265"/>
      <c r="K34" s="265"/>
      <c r="L34" s="270"/>
      <c r="M34" s="270"/>
      <c r="N34" s="271"/>
    </row>
    <row r="35" spans="1:14" s="264" customFormat="1" ht="19.5" customHeight="1" thickBot="1">
      <c r="A35" s="261"/>
      <c r="B35" s="266"/>
      <c r="G35" s="249"/>
      <c r="I35" s="265"/>
      <c r="J35" s="265"/>
      <c r="K35" s="265"/>
      <c r="L35" s="270"/>
      <c r="M35" s="270"/>
      <c r="N35" s="271"/>
    </row>
    <row r="36" spans="1:14" s="264" customFormat="1" ht="27" customHeight="1" thickBot="1">
      <c r="A36" s="275" t="s">
        <v>55</v>
      </c>
      <c r="B36" s="276">
        <v>50</v>
      </c>
      <c r="C36" s="249"/>
      <c r="D36" s="684" t="s">
        <v>56</v>
      </c>
      <c r="E36" s="685"/>
      <c r="F36" s="684" t="s">
        <v>57</v>
      </c>
      <c r="G36" s="686"/>
      <c r="J36" s="265"/>
      <c r="K36" s="265"/>
      <c r="L36" s="270"/>
      <c r="M36" s="270"/>
      <c r="N36" s="271"/>
    </row>
    <row r="37" spans="1:14" s="264" customFormat="1" ht="27" customHeight="1" thickBot="1">
      <c r="A37" s="277" t="s">
        <v>58</v>
      </c>
      <c r="B37" s="278">
        <v>10</v>
      </c>
      <c r="C37" s="279" t="s">
        <v>59</v>
      </c>
      <c r="D37" s="280" t="s">
        <v>60</v>
      </c>
      <c r="E37" s="281" t="s">
        <v>61</v>
      </c>
      <c r="F37" s="280" t="s">
        <v>60</v>
      </c>
      <c r="G37" s="282" t="s">
        <v>61</v>
      </c>
      <c r="I37" s="283" t="s">
        <v>62</v>
      </c>
      <c r="J37" s="265"/>
      <c r="K37" s="265"/>
      <c r="L37" s="270"/>
      <c r="M37" s="270"/>
      <c r="N37" s="271"/>
    </row>
    <row r="38" spans="1:14" s="264" customFormat="1" ht="26.25" customHeight="1">
      <c r="A38" s="277" t="s">
        <v>63</v>
      </c>
      <c r="B38" s="278">
        <v>25</v>
      </c>
      <c r="C38" s="284">
        <v>1</v>
      </c>
      <c r="D38" s="285">
        <v>44649895</v>
      </c>
      <c r="E38" s="286">
        <f>IF(ISBLANK(D38),"-",$D$48/$D$45*D38)</f>
        <v>46094179.284239508</v>
      </c>
      <c r="F38" s="285">
        <v>47472958</v>
      </c>
      <c r="G38" s="287">
        <f>IF(ISBLANK(F38),"-",$D$48/$F$45*F38)</f>
        <v>46910037.549407117</v>
      </c>
      <c r="I38" s="288"/>
      <c r="J38" s="265"/>
      <c r="K38" s="265"/>
      <c r="L38" s="270"/>
      <c r="M38" s="270"/>
      <c r="N38" s="271"/>
    </row>
    <row r="39" spans="1:14" s="264" customFormat="1" ht="26.25" customHeight="1">
      <c r="A39" s="277" t="s">
        <v>64</v>
      </c>
      <c r="B39" s="278">
        <v>1</v>
      </c>
      <c r="C39" s="289">
        <v>2</v>
      </c>
      <c r="D39" s="290">
        <v>44476964</v>
      </c>
      <c r="E39" s="291">
        <f>IF(ISBLANK(D39),"-",$D$48/$D$45*D39)</f>
        <v>45915654.507914662</v>
      </c>
      <c r="F39" s="290">
        <v>47514944</v>
      </c>
      <c r="G39" s="292">
        <f>IF(ISBLANK(F39),"-",$D$48/$F$45*F39)</f>
        <v>46951525.691699609</v>
      </c>
      <c r="I39" s="687">
        <f>ABS((F43/D43*D42)-F42)/D42</f>
        <v>2.0597560446188472E-2</v>
      </c>
      <c r="J39" s="265"/>
      <c r="K39" s="265"/>
      <c r="L39" s="270"/>
      <c r="M39" s="270"/>
      <c r="N39" s="271"/>
    </row>
    <row r="40" spans="1:14" ht="26.25" customHeight="1">
      <c r="A40" s="277" t="s">
        <v>65</v>
      </c>
      <c r="B40" s="278">
        <v>1</v>
      </c>
      <c r="C40" s="289">
        <v>3</v>
      </c>
      <c r="D40" s="290">
        <v>44606027</v>
      </c>
      <c r="E40" s="291">
        <f>IF(ISBLANK(D40),"-",$D$48/$D$45*D40)</f>
        <v>46048892.291810051</v>
      </c>
      <c r="F40" s="290">
        <v>47482100</v>
      </c>
      <c r="G40" s="292">
        <f>IF(ISBLANK(F40),"-",$D$48/$F$45*F40)</f>
        <v>46919071.146245062</v>
      </c>
      <c r="I40" s="687"/>
      <c r="L40" s="270"/>
      <c r="M40" s="270"/>
      <c r="N40" s="249"/>
    </row>
    <row r="41" spans="1:14" ht="27" customHeight="1" thickBot="1">
      <c r="A41" s="277" t="s">
        <v>66</v>
      </c>
      <c r="B41" s="278">
        <v>1</v>
      </c>
      <c r="C41" s="293">
        <v>4</v>
      </c>
      <c r="D41" s="294"/>
      <c r="E41" s="295" t="str">
        <f>IF(ISBLANK(D41),"-",$D$48/$D$45*D41)</f>
        <v>-</v>
      </c>
      <c r="F41" s="294"/>
      <c r="G41" s="296" t="str">
        <f>IF(ISBLANK(F41),"-",$D$48/$F$45*F41)</f>
        <v>-</v>
      </c>
      <c r="I41" s="297"/>
      <c r="L41" s="270"/>
      <c r="M41" s="270"/>
      <c r="N41" s="249"/>
    </row>
    <row r="42" spans="1:14" ht="27" customHeight="1" thickBot="1">
      <c r="A42" s="277" t="s">
        <v>67</v>
      </c>
      <c r="B42" s="278">
        <v>1</v>
      </c>
      <c r="C42" s="298" t="s">
        <v>68</v>
      </c>
      <c r="D42" s="299">
        <f>AVERAGE(D38:D41)</f>
        <v>44577628.666666664</v>
      </c>
      <c r="E42" s="300">
        <f>AVERAGE(E38:E41)</f>
        <v>46019575.361321412</v>
      </c>
      <c r="F42" s="299">
        <f>AVERAGE(F38:F41)</f>
        <v>47490000.666666664</v>
      </c>
      <c r="G42" s="301">
        <f>AVERAGE(G38:G41)</f>
        <v>46926878.129117258</v>
      </c>
      <c r="H42" s="302"/>
    </row>
    <row r="43" spans="1:14" ht="26.25" customHeight="1">
      <c r="A43" s="277" t="s">
        <v>69</v>
      </c>
      <c r="B43" s="278">
        <v>1</v>
      </c>
      <c r="C43" s="303" t="s">
        <v>70</v>
      </c>
      <c r="D43" s="304">
        <v>14.53</v>
      </c>
      <c r="E43" s="249"/>
      <c r="F43" s="304">
        <v>15.18</v>
      </c>
      <c r="H43" s="302"/>
    </row>
    <row r="44" spans="1:14" ht="26.25" customHeight="1">
      <c r="A44" s="277" t="s">
        <v>71</v>
      </c>
      <c r="B44" s="278">
        <v>1</v>
      </c>
      <c r="C44" s="305" t="s">
        <v>72</v>
      </c>
      <c r="D44" s="306">
        <f>D43*$B$34</f>
        <v>14.53</v>
      </c>
      <c r="E44" s="307"/>
      <c r="F44" s="306">
        <f>F43*$B$34</f>
        <v>15.18</v>
      </c>
      <c r="H44" s="302"/>
    </row>
    <row r="45" spans="1:14" ht="19.5" customHeight="1" thickBot="1">
      <c r="A45" s="277" t="s">
        <v>73</v>
      </c>
      <c r="B45" s="289">
        <f>(B44/B43)*(B42/B41)*(B40/B39)*(B38/B37)*B36</f>
        <v>125</v>
      </c>
      <c r="C45" s="305" t="s">
        <v>74</v>
      </c>
      <c r="D45" s="308">
        <f>D44*$B$30/100</f>
        <v>14.53</v>
      </c>
      <c r="E45" s="309"/>
      <c r="F45" s="308">
        <f>F44*$B$30/100</f>
        <v>15.18</v>
      </c>
      <c r="H45" s="302"/>
    </row>
    <row r="46" spans="1:14" ht="19.5" customHeight="1" thickBot="1">
      <c r="A46" s="688" t="s">
        <v>75</v>
      </c>
      <c r="B46" s="689"/>
      <c r="C46" s="305" t="s">
        <v>76</v>
      </c>
      <c r="D46" s="310">
        <f>D45/$B$45</f>
        <v>0.11624</v>
      </c>
      <c r="E46" s="311"/>
      <c r="F46" s="312">
        <f>F45/$B$45</f>
        <v>0.12143999999999999</v>
      </c>
      <c r="H46" s="302"/>
    </row>
    <row r="47" spans="1:14" ht="27" customHeight="1" thickBot="1">
      <c r="A47" s="690"/>
      <c r="B47" s="691"/>
      <c r="C47" s="313" t="s">
        <v>77</v>
      </c>
      <c r="D47" s="314">
        <v>0.12</v>
      </c>
      <c r="E47" s="315"/>
      <c r="F47" s="311"/>
      <c r="H47" s="302"/>
    </row>
    <row r="48" spans="1:14" ht="18.75">
      <c r="C48" s="316" t="s">
        <v>78</v>
      </c>
      <c r="D48" s="308">
        <f>D47*$B$45</f>
        <v>15</v>
      </c>
      <c r="F48" s="317"/>
      <c r="H48" s="302"/>
    </row>
    <row r="49" spans="1:12" ht="19.5" customHeight="1" thickBot="1">
      <c r="C49" s="318" t="s">
        <v>79</v>
      </c>
      <c r="D49" s="319">
        <f>D48/B34</f>
        <v>15</v>
      </c>
      <c r="F49" s="317"/>
      <c r="H49" s="302"/>
    </row>
    <row r="50" spans="1:12" ht="18.75">
      <c r="C50" s="275" t="s">
        <v>80</v>
      </c>
      <c r="D50" s="320">
        <f>AVERAGE(E38:E41,G38:G41)</f>
        <v>46473226.745219342</v>
      </c>
      <c r="F50" s="321"/>
      <c r="H50" s="302"/>
    </row>
    <row r="51" spans="1:12" ht="18.75">
      <c r="C51" s="277" t="s">
        <v>81</v>
      </c>
      <c r="D51" s="322">
        <f>STDEV(E38:E41,G38:G41)/D50</f>
        <v>1.0771675240696436E-2</v>
      </c>
      <c r="F51" s="321"/>
      <c r="H51" s="302"/>
    </row>
    <row r="52" spans="1:12" ht="19.5" customHeight="1" thickBot="1">
      <c r="C52" s="323" t="s">
        <v>17</v>
      </c>
      <c r="D52" s="324">
        <f>COUNT(E38:E41,G38:G41)</f>
        <v>6</v>
      </c>
      <c r="F52" s="321"/>
    </row>
    <row r="54" spans="1:12" ht="18.75">
      <c r="A54" s="325" t="s">
        <v>1</v>
      </c>
      <c r="B54" s="326" t="s">
        <v>82</v>
      </c>
    </row>
    <row r="55" spans="1:12" ht="18.75">
      <c r="A55" s="249" t="s">
        <v>83</v>
      </c>
      <c r="B55" s="327" t="str">
        <f>B21</f>
        <v>Tenofovir Disoproxil Fumarate 300mg, Lamivudine 300mg, Efavirenz 600mg</v>
      </c>
    </row>
    <row r="56" spans="1:12" ht="26.25" customHeight="1">
      <c r="A56" s="327" t="s">
        <v>84</v>
      </c>
      <c r="B56" s="328">
        <v>300</v>
      </c>
      <c r="C56" s="249" t="str">
        <f>B20</f>
        <v xml:space="preserve">Tenofovir Disoproxil Fumarate 300mg, Lamivudine 300mg &amp; Efavirenz 600mg </v>
      </c>
      <c r="H56" s="307"/>
    </row>
    <row r="57" spans="1:12" ht="18.75">
      <c r="A57" s="327" t="s">
        <v>85</v>
      </c>
      <c r="B57" s="329">
        <f>'Tenofovir Disoproxil Fumarate'!B57</f>
        <v>1890.5280000000002</v>
      </c>
      <c r="H57" s="307"/>
    </row>
    <row r="58" spans="1:12" ht="19.5" customHeight="1" thickBot="1">
      <c r="H58" s="307"/>
    </row>
    <row r="59" spans="1:12" s="264" customFormat="1" ht="27" customHeight="1" thickBot="1">
      <c r="A59" s="275" t="s">
        <v>86</v>
      </c>
      <c r="B59" s="276">
        <v>250</v>
      </c>
      <c r="C59" s="249"/>
      <c r="D59" s="330" t="s">
        <v>87</v>
      </c>
      <c r="E59" s="331" t="s">
        <v>59</v>
      </c>
      <c r="F59" s="331" t="s">
        <v>60</v>
      </c>
      <c r="G59" s="331" t="s">
        <v>88</v>
      </c>
      <c r="H59" s="279" t="s">
        <v>89</v>
      </c>
      <c r="L59" s="265"/>
    </row>
    <row r="60" spans="1:12" s="264" customFormat="1" ht="26.25" customHeight="1">
      <c r="A60" s="277" t="s">
        <v>90</v>
      </c>
      <c r="B60" s="278">
        <v>3</v>
      </c>
      <c r="C60" s="692" t="s">
        <v>91</v>
      </c>
      <c r="D60" s="695">
        <f>'Tenofovir Disoproxil Fumarate'!D60:D63</f>
        <v>1885.26</v>
      </c>
      <c r="E60" s="332">
        <v>1</v>
      </c>
      <c r="F60" s="333">
        <v>57826388</v>
      </c>
      <c r="G60" s="334">
        <f>IF(ISBLANK(F60),"-",(F60/$D$50*$D$47*$B$68)*($B$57/$D$60))</f>
        <v>311.94290179944113</v>
      </c>
      <c r="H60" s="335">
        <f t="shared" ref="H60:H71" si="0">IF(ISBLANK(F60),"-",G60/$B$56)</f>
        <v>1.0398096726648038</v>
      </c>
      <c r="L60" s="265"/>
    </row>
    <row r="61" spans="1:12" s="264" customFormat="1" ht="26.25" customHeight="1">
      <c r="A61" s="277" t="s">
        <v>92</v>
      </c>
      <c r="B61" s="278">
        <v>25</v>
      </c>
      <c r="C61" s="693"/>
      <c r="D61" s="696"/>
      <c r="E61" s="336">
        <v>2</v>
      </c>
      <c r="F61" s="290">
        <v>57703386</v>
      </c>
      <c r="G61" s="337">
        <f>IF(ISBLANK(F61),"-",(F61/$D$50*$D$47*$B$68)*($B$57/$D$60))</f>
        <v>311.27937080374522</v>
      </c>
      <c r="H61" s="338">
        <f t="shared" si="0"/>
        <v>1.0375979026791506</v>
      </c>
      <c r="L61" s="265"/>
    </row>
    <row r="62" spans="1:12" s="264" customFormat="1" ht="26.25" customHeight="1">
      <c r="A62" s="277" t="s">
        <v>93</v>
      </c>
      <c r="B62" s="278">
        <v>1</v>
      </c>
      <c r="C62" s="693"/>
      <c r="D62" s="696"/>
      <c r="E62" s="336">
        <v>3</v>
      </c>
      <c r="F62" s="339">
        <v>57769677</v>
      </c>
      <c r="G62" s="337">
        <f>IF(ISBLANK(F62),"-",(F62/$D$50*$D$47*$B$68)*($B$57/$D$60))</f>
        <v>311.63697582834379</v>
      </c>
      <c r="H62" s="338">
        <f t="shared" si="0"/>
        <v>1.0387899194278127</v>
      </c>
      <c r="L62" s="265"/>
    </row>
    <row r="63" spans="1:12" ht="27" customHeight="1" thickBot="1">
      <c r="A63" s="277" t="s">
        <v>94</v>
      </c>
      <c r="B63" s="278">
        <v>1</v>
      </c>
      <c r="C63" s="694"/>
      <c r="D63" s="697"/>
      <c r="E63" s="340">
        <v>4</v>
      </c>
      <c r="F63" s="341"/>
      <c r="G63" s="337" t="str">
        <f>IF(ISBLANK(F63),"-",(F63/$D$50*$D$47*$B$68)*($B$57/$D$60))</f>
        <v>-</v>
      </c>
      <c r="H63" s="338" t="str">
        <f t="shared" si="0"/>
        <v>-</v>
      </c>
    </row>
    <row r="64" spans="1:12" ht="26.25" customHeight="1">
      <c r="A64" s="277" t="s">
        <v>95</v>
      </c>
      <c r="B64" s="278">
        <v>1</v>
      </c>
      <c r="C64" s="692" t="s">
        <v>96</v>
      </c>
      <c r="D64" s="695">
        <f>'Tenofovir Disoproxil Fumarate'!D64:D67</f>
        <v>1899.38</v>
      </c>
      <c r="E64" s="332">
        <v>1</v>
      </c>
      <c r="F64" s="333">
        <v>56259901</v>
      </c>
      <c r="G64" s="342">
        <f>IF(ISBLANK(F64),"-",(F64/$D$50*$D$47*$B$68)*($B$57/$D$64))</f>
        <v>301.23636470364193</v>
      </c>
      <c r="H64" s="343">
        <f t="shared" si="0"/>
        <v>1.0041212156788064</v>
      </c>
    </row>
    <row r="65" spans="1:8" ht="26.25" customHeight="1">
      <c r="A65" s="277" t="s">
        <v>97</v>
      </c>
      <c r="B65" s="278">
        <v>1</v>
      </c>
      <c r="C65" s="693"/>
      <c r="D65" s="696"/>
      <c r="E65" s="336">
        <v>2</v>
      </c>
      <c r="F65" s="290">
        <v>56562354</v>
      </c>
      <c r="G65" s="344">
        <f>IF(ISBLANK(F65),"-",(F65/$D$50*$D$47*$B$68)*($B$57/$D$64))</f>
        <v>302.85581018069155</v>
      </c>
      <c r="H65" s="345">
        <f t="shared" si="0"/>
        <v>1.0095193672689717</v>
      </c>
    </row>
    <row r="66" spans="1:8" ht="26.25" customHeight="1">
      <c r="A66" s="277" t="s">
        <v>98</v>
      </c>
      <c r="B66" s="278">
        <v>1</v>
      </c>
      <c r="C66" s="693"/>
      <c r="D66" s="696"/>
      <c r="E66" s="336">
        <v>3</v>
      </c>
      <c r="F66" s="290">
        <v>56733464</v>
      </c>
      <c r="G66" s="344">
        <f>IF(ISBLANK(F66),"-",(F66/$D$50*$D$47*$B$68)*($B$57/$D$64))</f>
        <v>303.77199654874863</v>
      </c>
      <c r="H66" s="345">
        <f t="shared" si="0"/>
        <v>1.0125733218291622</v>
      </c>
    </row>
    <row r="67" spans="1:8" ht="27" customHeight="1" thickBot="1">
      <c r="A67" s="277" t="s">
        <v>99</v>
      </c>
      <c r="B67" s="278">
        <v>1</v>
      </c>
      <c r="C67" s="694"/>
      <c r="D67" s="697"/>
      <c r="E67" s="340">
        <v>4</v>
      </c>
      <c r="F67" s="341"/>
      <c r="G67" s="346" t="str">
        <f>IF(ISBLANK(F67),"-",(F67/$D$50*$D$47*$B$68)*($B$57/$D$64))</f>
        <v>-</v>
      </c>
      <c r="H67" s="347" t="str">
        <f t="shared" si="0"/>
        <v>-</v>
      </c>
    </row>
    <row r="68" spans="1:8" ht="26.25" customHeight="1">
      <c r="A68" s="277" t="s">
        <v>100</v>
      </c>
      <c r="B68" s="348">
        <f>(B67/B66)*(B65/B64)*(B63/B62)*(B61/B60)*B59</f>
        <v>2083.3333333333335</v>
      </c>
      <c r="C68" s="692" t="s">
        <v>101</v>
      </c>
      <c r="D68" s="695">
        <f>'Tenofovir Disoproxil Fumarate'!D68:D71</f>
        <v>1879.85</v>
      </c>
      <c r="E68" s="332">
        <v>1</v>
      </c>
      <c r="F68" s="333">
        <v>56479053</v>
      </c>
      <c r="G68" s="342">
        <f>IF(ISBLANK(F68),"-",(F68/$D$50*$D$47*$B$68)*($B$57/$D$68))</f>
        <v>305.55155935547793</v>
      </c>
      <c r="H68" s="338">
        <f t="shared" si="0"/>
        <v>1.0185051978515931</v>
      </c>
    </row>
    <row r="69" spans="1:8" ht="27" customHeight="1" thickBot="1">
      <c r="A69" s="323" t="s">
        <v>102</v>
      </c>
      <c r="B69" s="349">
        <f>(D47*B68)/B56*B57</f>
        <v>1575.4400000000003</v>
      </c>
      <c r="C69" s="693"/>
      <c r="D69" s="696"/>
      <c r="E69" s="336">
        <v>2</v>
      </c>
      <c r="F69" s="290">
        <v>57777133</v>
      </c>
      <c r="G69" s="344">
        <f>IF(ISBLANK(F69),"-",(F69/$D$50*$D$47*$B$68)*($B$57/$D$68))</f>
        <v>312.57416945781375</v>
      </c>
      <c r="H69" s="338">
        <f t="shared" si="0"/>
        <v>1.0419138981927125</v>
      </c>
    </row>
    <row r="70" spans="1:8" ht="26.25" customHeight="1">
      <c r="A70" s="700" t="s">
        <v>75</v>
      </c>
      <c r="B70" s="701"/>
      <c r="C70" s="693"/>
      <c r="D70" s="696"/>
      <c r="E70" s="336">
        <v>3</v>
      </c>
      <c r="F70" s="290">
        <v>56664213</v>
      </c>
      <c r="G70" s="344">
        <f>IF(ISBLANK(F70),"-",(F70/$D$50*$D$47*$B$68)*($B$57/$D$68))</f>
        <v>306.55327457067926</v>
      </c>
      <c r="H70" s="338">
        <f t="shared" si="0"/>
        <v>1.021844248568931</v>
      </c>
    </row>
    <row r="71" spans="1:8" ht="27" customHeight="1" thickBot="1">
      <c r="A71" s="702"/>
      <c r="B71" s="703"/>
      <c r="C71" s="698"/>
      <c r="D71" s="697"/>
      <c r="E71" s="340">
        <v>4</v>
      </c>
      <c r="F71" s="341"/>
      <c r="G71" s="346" t="str">
        <f>IF(ISBLANK(F71),"-",(F71/$D$50*$D$47*$B$68)*($B$57/$D$68))</f>
        <v>-</v>
      </c>
      <c r="H71" s="350" t="str">
        <f t="shared" si="0"/>
        <v>-</v>
      </c>
    </row>
    <row r="72" spans="1:8" ht="26.25" customHeight="1">
      <c r="A72" s="307"/>
      <c r="B72" s="307"/>
      <c r="C72" s="307"/>
      <c r="D72" s="307"/>
      <c r="E72" s="307"/>
      <c r="F72" s="351" t="s">
        <v>68</v>
      </c>
      <c r="G72" s="352">
        <f>AVERAGE(G60:G71)</f>
        <v>307.48915813873145</v>
      </c>
      <c r="H72" s="353">
        <f>AVERAGE(H60:H71)</f>
        <v>1.0249638604624383</v>
      </c>
    </row>
    <row r="73" spans="1:8" ht="26.25" customHeight="1">
      <c r="C73" s="307"/>
      <c r="D73" s="307"/>
      <c r="E73" s="307"/>
      <c r="F73" s="354" t="s">
        <v>81</v>
      </c>
      <c r="G73" s="355">
        <f>STDEV(G60:G71)/G72</f>
        <v>1.4373794895475002E-2</v>
      </c>
      <c r="H73" s="355">
        <f>STDEV(H60:H71)/H72</f>
        <v>1.4373794895474343E-2</v>
      </c>
    </row>
    <row r="74" spans="1:8" ht="27" customHeight="1" thickBot="1">
      <c r="A74" s="307"/>
      <c r="B74" s="307"/>
      <c r="C74" s="307"/>
      <c r="D74" s="307"/>
      <c r="E74" s="309"/>
      <c r="F74" s="356" t="s">
        <v>17</v>
      </c>
      <c r="G74" s="357">
        <f>COUNT(G60:G71)</f>
        <v>9</v>
      </c>
      <c r="H74" s="357">
        <f>COUNT(H60:H71)</f>
        <v>9</v>
      </c>
    </row>
    <row r="76" spans="1:8" ht="26.25" customHeight="1">
      <c r="A76" s="260" t="s">
        <v>103</v>
      </c>
      <c r="B76" s="261" t="s">
        <v>104</v>
      </c>
      <c r="C76" s="704" t="str">
        <f>B20</f>
        <v xml:space="preserve">Tenofovir Disoproxil Fumarate 300mg, Lamivudine 300mg &amp; Efavirenz 600mg </v>
      </c>
      <c r="D76" s="704"/>
      <c r="E76" s="249" t="s">
        <v>105</v>
      </c>
      <c r="F76" s="249"/>
      <c r="G76" s="358">
        <f>H72</f>
        <v>1.0249638604624383</v>
      </c>
      <c r="H76" s="266"/>
    </row>
    <row r="77" spans="1:8" ht="18.75">
      <c r="A77" s="259" t="s">
        <v>106</v>
      </c>
      <c r="B77" s="259" t="s">
        <v>107</v>
      </c>
    </row>
    <row r="78" spans="1:8" ht="18.75">
      <c r="A78" s="259"/>
      <c r="B78" s="259"/>
    </row>
    <row r="79" spans="1:8" ht="26.25" customHeight="1">
      <c r="A79" s="260" t="s">
        <v>4</v>
      </c>
      <c r="B79" s="699" t="str">
        <f>B26</f>
        <v>Lamivudine</v>
      </c>
      <c r="C79" s="699"/>
    </row>
    <row r="80" spans="1:8" ht="26.25" customHeight="1">
      <c r="A80" s="261" t="s">
        <v>45</v>
      </c>
      <c r="B80" s="699" t="s">
        <v>130</v>
      </c>
      <c r="C80" s="699"/>
    </row>
    <row r="81" spans="1:12" ht="27" customHeight="1" thickBot="1">
      <c r="A81" s="261" t="s">
        <v>6</v>
      </c>
      <c r="B81" s="262">
        <v>100</v>
      </c>
    </row>
    <row r="82" spans="1:12" s="264" customFormat="1" ht="27" customHeight="1" thickBot="1">
      <c r="A82" s="261" t="s">
        <v>46</v>
      </c>
      <c r="B82" s="263">
        <v>0</v>
      </c>
      <c r="C82" s="681" t="s">
        <v>47</v>
      </c>
      <c r="D82" s="682"/>
      <c r="E82" s="682"/>
      <c r="F82" s="682"/>
      <c r="G82" s="683"/>
      <c r="I82" s="265"/>
      <c r="J82" s="265"/>
      <c r="K82" s="265"/>
      <c r="L82" s="265"/>
    </row>
    <row r="83" spans="1:12" s="264" customFormat="1" ht="19.5" customHeight="1" thickBot="1">
      <c r="A83" s="261" t="s">
        <v>48</v>
      </c>
      <c r="B83" s="266">
        <f>B81-B82</f>
        <v>100</v>
      </c>
      <c r="C83" s="267"/>
      <c r="D83" s="267"/>
      <c r="E83" s="267"/>
      <c r="F83" s="267"/>
      <c r="G83" s="268"/>
      <c r="I83" s="265"/>
      <c r="J83" s="265"/>
      <c r="K83" s="265"/>
      <c r="L83" s="265"/>
    </row>
    <row r="84" spans="1:12" s="264" customFormat="1" ht="27" customHeight="1" thickBot="1">
      <c r="A84" s="261" t="s">
        <v>49</v>
      </c>
      <c r="B84" s="269">
        <v>1</v>
      </c>
      <c r="C84" s="669" t="s">
        <v>108</v>
      </c>
      <c r="D84" s="670"/>
      <c r="E84" s="670"/>
      <c r="F84" s="670"/>
      <c r="G84" s="670"/>
      <c r="H84" s="671"/>
      <c r="I84" s="265"/>
      <c r="J84" s="265"/>
      <c r="K84" s="265"/>
      <c r="L84" s="265"/>
    </row>
    <row r="85" spans="1:12" s="264" customFormat="1" ht="27" customHeight="1" thickBot="1">
      <c r="A85" s="261" t="s">
        <v>51</v>
      </c>
      <c r="B85" s="269">
        <v>1</v>
      </c>
      <c r="C85" s="669" t="s">
        <v>109</v>
      </c>
      <c r="D85" s="670"/>
      <c r="E85" s="670"/>
      <c r="F85" s="670"/>
      <c r="G85" s="670"/>
      <c r="H85" s="671"/>
      <c r="I85" s="265"/>
      <c r="J85" s="265"/>
      <c r="K85" s="265"/>
      <c r="L85" s="265"/>
    </row>
    <row r="86" spans="1:12" s="264" customFormat="1" ht="18.75">
      <c r="A86" s="261"/>
      <c r="B86" s="272"/>
      <c r="C86" s="273"/>
      <c r="D86" s="273"/>
      <c r="E86" s="273"/>
      <c r="F86" s="273"/>
      <c r="G86" s="273"/>
      <c r="H86" s="273"/>
      <c r="I86" s="265"/>
      <c r="J86" s="265"/>
      <c r="K86" s="265"/>
      <c r="L86" s="265"/>
    </row>
    <row r="87" spans="1:12" s="264" customFormat="1" ht="18.75">
      <c r="A87" s="261" t="s">
        <v>53</v>
      </c>
      <c r="B87" s="274">
        <f>B84/B85</f>
        <v>1</v>
      </c>
      <c r="C87" s="249" t="s">
        <v>54</v>
      </c>
      <c r="D87" s="249"/>
      <c r="E87" s="249"/>
      <c r="F87" s="249"/>
      <c r="G87" s="249"/>
      <c r="I87" s="265"/>
      <c r="J87" s="265"/>
      <c r="K87" s="265"/>
      <c r="L87" s="265"/>
    </row>
    <row r="88" spans="1:12" ht="19.5" customHeight="1" thickBot="1">
      <c r="A88" s="259"/>
      <c r="B88" s="259"/>
    </row>
    <row r="89" spans="1:12" ht="27" customHeight="1" thickBot="1">
      <c r="A89" s="275" t="s">
        <v>55</v>
      </c>
      <c r="B89" s="276">
        <v>50</v>
      </c>
      <c r="D89" s="359" t="s">
        <v>56</v>
      </c>
      <c r="E89" s="360"/>
      <c r="F89" s="684" t="s">
        <v>57</v>
      </c>
      <c r="G89" s="686"/>
    </row>
    <row r="90" spans="1:12" ht="27" customHeight="1" thickBot="1">
      <c r="A90" s="277" t="s">
        <v>58</v>
      </c>
      <c r="B90" s="278">
        <v>1</v>
      </c>
      <c r="C90" s="361" t="s">
        <v>59</v>
      </c>
      <c r="D90" s="280" t="s">
        <v>60</v>
      </c>
      <c r="E90" s="281" t="s">
        <v>61</v>
      </c>
      <c r="F90" s="280" t="s">
        <v>60</v>
      </c>
      <c r="G90" s="362" t="s">
        <v>61</v>
      </c>
      <c r="I90" s="283" t="s">
        <v>62</v>
      </c>
    </row>
    <row r="91" spans="1:12" ht="26.25" customHeight="1">
      <c r="A91" s="277" t="s">
        <v>63</v>
      </c>
      <c r="B91" s="278">
        <v>1</v>
      </c>
      <c r="C91" s="363">
        <v>1</v>
      </c>
      <c r="D91" s="285">
        <v>102168061</v>
      </c>
      <c r="E91" s="286">
        <f>IF(ISBLANK(D91),"-",$D$101/$D$98*D91)</f>
        <v>105910222.18382861</v>
      </c>
      <c r="F91" s="285">
        <v>109254775</v>
      </c>
      <c r="G91" s="287">
        <f>IF(ISBLANK(F91),"-",$D$101/$F$98*F91)</f>
        <v>105187524.06931964</v>
      </c>
      <c r="I91" s="288"/>
    </row>
    <row r="92" spans="1:12" ht="26.25" customHeight="1">
      <c r="A92" s="277" t="s">
        <v>64</v>
      </c>
      <c r="B92" s="278">
        <v>1</v>
      </c>
      <c r="C92" s="307">
        <v>2</v>
      </c>
      <c r="D92" s="290">
        <v>102347586</v>
      </c>
      <c r="E92" s="291">
        <f>IF(ISBLANK(D92),"-",$D$101/$D$98*D92)</f>
        <v>106096322.73669662</v>
      </c>
      <c r="F92" s="290">
        <v>108877051</v>
      </c>
      <c r="G92" s="292">
        <f>IF(ISBLANK(F92),"-",$D$101/$F$98*F92)</f>
        <v>104823861.68164313</v>
      </c>
      <c r="I92" s="687">
        <f>ABS((F96/D96*D95)-F95)/D95</f>
        <v>7.3121350706752096E-3</v>
      </c>
    </row>
    <row r="93" spans="1:12" ht="26.25" customHeight="1">
      <c r="A93" s="277" t="s">
        <v>65</v>
      </c>
      <c r="B93" s="278">
        <v>1</v>
      </c>
      <c r="C93" s="307">
        <v>3</v>
      </c>
      <c r="D93" s="290">
        <v>101834853</v>
      </c>
      <c r="E93" s="291">
        <f>IF(ISBLANK(D93),"-",$D$101/$D$98*D93)</f>
        <v>105564809.60608155</v>
      </c>
      <c r="F93" s="290">
        <v>109478878</v>
      </c>
      <c r="G93" s="292">
        <f>IF(ISBLANK(F93),"-",$D$101/$F$98*F93)</f>
        <v>105403284.33889602</v>
      </c>
      <c r="I93" s="687"/>
    </row>
    <row r="94" spans="1:12" ht="27" customHeight="1" thickBot="1">
      <c r="A94" s="277" t="s">
        <v>66</v>
      </c>
      <c r="B94" s="278">
        <v>1</v>
      </c>
      <c r="C94" s="364">
        <v>4</v>
      </c>
      <c r="D94" s="294"/>
      <c r="E94" s="295" t="str">
        <f>IF(ISBLANK(D94),"-",$D$101/$D$98*D94)</f>
        <v>-</v>
      </c>
      <c r="F94" s="365"/>
      <c r="G94" s="296" t="str">
        <f>IF(ISBLANK(F94),"-",$D$101/$F$98*F94)</f>
        <v>-</v>
      </c>
      <c r="I94" s="297"/>
    </row>
    <row r="95" spans="1:12" ht="27" customHeight="1" thickBot="1">
      <c r="A95" s="277" t="s">
        <v>67</v>
      </c>
      <c r="B95" s="278">
        <v>1</v>
      </c>
      <c r="C95" s="261" t="s">
        <v>68</v>
      </c>
      <c r="D95" s="366">
        <f>AVERAGE(D91:D94)</f>
        <v>102116833.33333333</v>
      </c>
      <c r="E95" s="300">
        <f>AVERAGE(E91:E94)</f>
        <v>105857118.1755356</v>
      </c>
      <c r="F95" s="367">
        <f>AVERAGE(F91:F94)</f>
        <v>109203568</v>
      </c>
      <c r="G95" s="368">
        <f>AVERAGE(G91:G94)</f>
        <v>105138223.36328626</v>
      </c>
    </row>
    <row r="96" spans="1:12" ht="26.25" customHeight="1">
      <c r="A96" s="277" t="s">
        <v>69</v>
      </c>
      <c r="B96" s="262">
        <v>1</v>
      </c>
      <c r="C96" s="369" t="s">
        <v>110</v>
      </c>
      <c r="D96" s="370">
        <v>14.47</v>
      </c>
      <c r="E96" s="249"/>
      <c r="F96" s="304">
        <v>15.58</v>
      </c>
    </row>
    <row r="97" spans="1:10" ht="26.25" customHeight="1">
      <c r="A97" s="277" t="s">
        <v>71</v>
      </c>
      <c r="B97" s="262">
        <v>1</v>
      </c>
      <c r="C97" s="371" t="s">
        <v>111</v>
      </c>
      <c r="D97" s="372">
        <f>D96*$B$87</f>
        <v>14.47</v>
      </c>
      <c r="E97" s="307"/>
      <c r="F97" s="306">
        <f>F96*$B$87</f>
        <v>15.58</v>
      </c>
    </row>
    <row r="98" spans="1:10" ht="19.5" customHeight="1" thickBot="1">
      <c r="A98" s="277" t="s">
        <v>73</v>
      </c>
      <c r="B98" s="307">
        <f>(B97/B96)*(B95/B94)*(B93/B92)*(B91/B90)*B89</f>
        <v>50</v>
      </c>
      <c r="C98" s="371" t="s">
        <v>112</v>
      </c>
      <c r="D98" s="373">
        <f>D97*$B$83/100</f>
        <v>14.47</v>
      </c>
      <c r="E98" s="309"/>
      <c r="F98" s="308">
        <f>F97*$B$83/100</f>
        <v>15.58</v>
      </c>
    </row>
    <row r="99" spans="1:10" ht="19.5" customHeight="1" thickBot="1">
      <c r="A99" s="688" t="s">
        <v>75</v>
      </c>
      <c r="B99" s="705"/>
      <c r="C99" s="371" t="s">
        <v>113</v>
      </c>
      <c r="D99" s="374">
        <f>D98/$B$98</f>
        <v>0.28939999999999999</v>
      </c>
      <c r="E99" s="309"/>
      <c r="F99" s="312">
        <f>F98/$B$98</f>
        <v>0.31159999999999999</v>
      </c>
      <c r="H99" s="302"/>
    </row>
    <row r="100" spans="1:10" ht="19.5" customHeight="1" thickBot="1">
      <c r="A100" s="690"/>
      <c r="B100" s="706"/>
      <c r="C100" s="371" t="s">
        <v>77</v>
      </c>
      <c r="D100" s="375">
        <f>$B$56/$B$116</f>
        <v>0.3</v>
      </c>
      <c r="F100" s="317"/>
      <c r="G100" s="376"/>
      <c r="H100" s="302"/>
    </row>
    <row r="101" spans="1:10" ht="18.75">
      <c r="C101" s="371" t="s">
        <v>78</v>
      </c>
      <c r="D101" s="372">
        <f>D100*$B$98</f>
        <v>15</v>
      </c>
      <c r="F101" s="317"/>
      <c r="H101" s="302"/>
    </row>
    <row r="102" spans="1:10" ht="19.5" customHeight="1" thickBot="1">
      <c r="C102" s="377" t="s">
        <v>79</v>
      </c>
      <c r="D102" s="378">
        <f>D101/B34</f>
        <v>15</v>
      </c>
      <c r="F102" s="321"/>
      <c r="H102" s="302"/>
      <c r="J102" s="379"/>
    </row>
    <row r="103" spans="1:10" ht="18.75">
      <c r="C103" s="380" t="s">
        <v>114</v>
      </c>
      <c r="D103" s="381">
        <f>AVERAGE(E91:E94,G91:G94)</f>
        <v>105497670.76941092</v>
      </c>
      <c r="F103" s="321"/>
      <c r="G103" s="376"/>
      <c r="H103" s="302"/>
      <c r="J103" s="382"/>
    </row>
    <row r="104" spans="1:10" ht="18.75">
      <c r="C104" s="354" t="s">
        <v>81</v>
      </c>
      <c r="D104" s="383">
        <f>STDEV(E91:E94,G91:G94)/D103</f>
        <v>4.4302168899193048E-3</v>
      </c>
      <c r="F104" s="321"/>
      <c r="H104" s="302"/>
      <c r="J104" s="382"/>
    </row>
    <row r="105" spans="1:10" ht="19.5" customHeight="1" thickBot="1">
      <c r="C105" s="356" t="s">
        <v>17</v>
      </c>
      <c r="D105" s="384">
        <f>COUNT(E91:E94,G91:G94)</f>
        <v>6</v>
      </c>
      <c r="F105" s="321"/>
      <c r="H105" s="302"/>
      <c r="J105" s="382"/>
    </row>
    <row r="106" spans="1:10" ht="19.5" customHeight="1" thickBot="1">
      <c r="A106" s="325"/>
      <c r="B106" s="325"/>
      <c r="C106" s="325"/>
      <c r="D106" s="325"/>
      <c r="E106" s="325"/>
    </row>
    <row r="107" spans="1:10" ht="26.25" customHeight="1">
      <c r="A107" s="275" t="s">
        <v>115</v>
      </c>
      <c r="B107" s="276">
        <v>1000</v>
      </c>
      <c r="C107" s="359" t="s">
        <v>116</v>
      </c>
      <c r="D107" s="385" t="s">
        <v>60</v>
      </c>
      <c r="E107" s="386" t="s">
        <v>117</v>
      </c>
      <c r="F107" s="387" t="s">
        <v>118</v>
      </c>
    </row>
    <row r="108" spans="1:10" ht="26.25" customHeight="1">
      <c r="A108" s="277" t="s">
        <v>119</v>
      </c>
      <c r="B108" s="278">
        <v>1</v>
      </c>
      <c r="C108" s="388">
        <v>1</v>
      </c>
      <c r="D108" s="389">
        <v>105566960</v>
      </c>
      <c r="E108" s="390">
        <f t="shared" ref="E108:E113" si="1">IF(ISBLANK(D108),"-",D108/$D$103*$D$100*$B$116)</f>
        <v>300.19703533760628</v>
      </c>
      <c r="F108" s="391">
        <f t="shared" ref="F108:F113" si="2">IF(ISBLANK(D108), "-", E108/$B$56)</f>
        <v>1.0006567844586876</v>
      </c>
    </row>
    <row r="109" spans="1:10" ht="26.25" customHeight="1">
      <c r="A109" s="277" t="s">
        <v>92</v>
      </c>
      <c r="B109" s="278">
        <v>1</v>
      </c>
      <c r="C109" s="388">
        <v>2</v>
      </c>
      <c r="D109" s="389">
        <v>104453561</v>
      </c>
      <c r="E109" s="392">
        <f t="shared" si="1"/>
        <v>297.03090192855615</v>
      </c>
      <c r="F109" s="393">
        <f t="shared" si="2"/>
        <v>0.99010300642852045</v>
      </c>
    </row>
    <row r="110" spans="1:10" ht="26.25" customHeight="1">
      <c r="A110" s="277" t="s">
        <v>93</v>
      </c>
      <c r="B110" s="278">
        <v>1</v>
      </c>
      <c r="C110" s="388">
        <v>3</v>
      </c>
      <c r="D110" s="389">
        <v>108788900</v>
      </c>
      <c r="E110" s="392">
        <f t="shared" si="1"/>
        <v>309.35915231090587</v>
      </c>
      <c r="F110" s="393">
        <f t="shared" si="2"/>
        <v>1.0311971743696862</v>
      </c>
    </row>
    <row r="111" spans="1:10" ht="26.25" customHeight="1">
      <c r="A111" s="277" t="s">
        <v>94</v>
      </c>
      <c r="B111" s="278">
        <v>1</v>
      </c>
      <c r="C111" s="388">
        <v>4</v>
      </c>
      <c r="D111" s="389">
        <v>104662078</v>
      </c>
      <c r="E111" s="392">
        <f t="shared" si="1"/>
        <v>297.62385435626163</v>
      </c>
      <c r="F111" s="393">
        <f t="shared" si="2"/>
        <v>0.99207951452087206</v>
      </c>
    </row>
    <row r="112" spans="1:10" ht="26.25" customHeight="1">
      <c r="A112" s="277" t="s">
        <v>95</v>
      </c>
      <c r="B112" s="278">
        <v>1</v>
      </c>
      <c r="C112" s="388">
        <v>5</v>
      </c>
      <c r="D112" s="389">
        <v>109081374</v>
      </c>
      <c r="E112" s="392">
        <f t="shared" si="1"/>
        <v>310.19085029399963</v>
      </c>
      <c r="F112" s="393">
        <f t="shared" si="2"/>
        <v>1.0339695009799987</v>
      </c>
    </row>
    <row r="113" spans="1:10" ht="26.25" customHeight="1">
      <c r="A113" s="277" t="s">
        <v>97</v>
      </c>
      <c r="B113" s="278">
        <v>1</v>
      </c>
      <c r="C113" s="394">
        <v>6</v>
      </c>
      <c r="D113" s="395">
        <v>106612140</v>
      </c>
      <c r="E113" s="396">
        <f t="shared" si="1"/>
        <v>303.16917678597378</v>
      </c>
      <c r="F113" s="397">
        <f t="shared" si="2"/>
        <v>1.0105639226199126</v>
      </c>
    </row>
    <row r="114" spans="1:10" ht="26.25" customHeight="1">
      <c r="A114" s="277" t="s">
        <v>98</v>
      </c>
      <c r="B114" s="278">
        <v>1</v>
      </c>
      <c r="C114" s="388"/>
      <c r="D114" s="307"/>
      <c r="E114" s="249"/>
      <c r="F114" s="398"/>
    </row>
    <row r="115" spans="1:10" ht="26.25" customHeight="1">
      <c r="A115" s="277" t="s">
        <v>99</v>
      </c>
      <c r="B115" s="278">
        <v>1</v>
      </c>
      <c r="C115" s="388"/>
      <c r="D115" s="399" t="s">
        <v>68</v>
      </c>
      <c r="E115" s="400">
        <f>AVERAGE(E108:E113)</f>
        <v>302.9284951688839</v>
      </c>
      <c r="F115" s="401">
        <f>AVERAGE(F108:F113)</f>
        <v>1.0097616505629463</v>
      </c>
    </row>
    <row r="116" spans="1:10" ht="27" customHeight="1" thickBot="1">
      <c r="A116" s="277" t="s">
        <v>100</v>
      </c>
      <c r="B116" s="289">
        <f>(B115/B114)*(B113/B112)*(B111/B110)*(B109/B108)*B107</f>
        <v>1000</v>
      </c>
      <c r="C116" s="402"/>
      <c r="D116" s="261" t="s">
        <v>81</v>
      </c>
      <c r="E116" s="403">
        <f>STDEV(E108:E113)/E115</f>
        <v>1.8936674740074218E-2</v>
      </c>
      <c r="F116" s="403">
        <f>STDEV(F108:F113)/F115</f>
        <v>1.8936674740073239E-2</v>
      </c>
      <c r="I116" s="249"/>
    </row>
    <row r="117" spans="1:10" ht="27" customHeight="1" thickBot="1">
      <c r="A117" s="688" t="s">
        <v>75</v>
      </c>
      <c r="B117" s="689"/>
      <c r="C117" s="404"/>
      <c r="D117" s="405" t="s">
        <v>17</v>
      </c>
      <c r="E117" s="406">
        <f>COUNT(E108:E113)</f>
        <v>6</v>
      </c>
      <c r="F117" s="406">
        <f>COUNT(F108:F113)</f>
        <v>6</v>
      </c>
      <c r="I117" s="249"/>
      <c r="J117" s="382"/>
    </row>
    <row r="118" spans="1:10" ht="19.5" customHeight="1" thickBot="1">
      <c r="A118" s="690"/>
      <c r="B118" s="691"/>
      <c r="C118" s="249"/>
      <c r="D118" s="249"/>
      <c r="E118" s="249"/>
      <c r="F118" s="307"/>
      <c r="G118" s="249"/>
      <c r="H118" s="249"/>
      <c r="I118" s="249"/>
    </row>
    <row r="119" spans="1:10" ht="18.75">
      <c r="A119" s="407"/>
      <c r="B119" s="273"/>
      <c r="C119" s="249"/>
      <c r="D119" s="249"/>
      <c r="E119" s="249"/>
      <c r="F119" s="307"/>
      <c r="G119" s="249"/>
      <c r="H119" s="249"/>
      <c r="I119" s="249"/>
    </row>
    <row r="120" spans="1:10" ht="26.25" customHeight="1">
      <c r="A120" s="260" t="s">
        <v>103</v>
      </c>
      <c r="B120" s="261" t="s">
        <v>120</v>
      </c>
      <c r="C120" s="704" t="str">
        <f>B20</f>
        <v xml:space="preserve">Tenofovir Disoproxil Fumarate 300mg, Lamivudine 300mg &amp; Efavirenz 600mg </v>
      </c>
      <c r="D120" s="704"/>
      <c r="E120" s="249" t="s">
        <v>121</v>
      </c>
      <c r="F120" s="249"/>
      <c r="G120" s="358">
        <f>F115</f>
        <v>1.0097616505629463</v>
      </c>
      <c r="H120" s="249"/>
      <c r="I120" s="249"/>
    </row>
    <row r="121" spans="1:10" ht="19.5" customHeight="1" thickBot="1">
      <c r="A121" s="408"/>
      <c r="B121" s="408"/>
      <c r="C121" s="409"/>
      <c r="D121" s="409"/>
      <c r="E121" s="409"/>
      <c r="F121" s="409"/>
      <c r="G121" s="409"/>
      <c r="H121" s="409"/>
    </row>
    <row r="122" spans="1:10" ht="18.75">
      <c r="B122" s="707" t="s">
        <v>23</v>
      </c>
      <c r="C122" s="707"/>
      <c r="E122" s="361" t="s">
        <v>24</v>
      </c>
      <c r="F122" s="410"/>
      <c r="G122" s="707" t="s">
        <v>25</v>
      </c>
      <c r="H122" s="707"/>
    </row>
    <row r="123" spans="1:10" ht="69.95" customHeight="1">
      <c r="A123" s="260" t="s">
        <v>26</v>
      </c>
      <c r="B123" s="411"/>
      <c r="C123" s="411"/>
      <c r="E123" s="411"/>
      <c r="F123" s="249"/>
      <c r="G123" s="411"/>
      <c r="H123" s="411"/>
    </row>
    <row r="124" spans="1:10" ht="69.95" customHeight="1">
      <c r="A124" s="260" t="s">
        <v>27</v>
      </c>
      <c r="B124" s="412"/>
      <c r="C124" s="412"/>
      <c r="E124" s="412"/>
      <c r="F124" s="249"/>
      <c r="G124" s="413"/>
      <c r="H124" s="413"/>
    </row>
    <row r="125" spans="1:10" ht="18.75">
      <c r="A125" s="307"/>
      <c r="B125" s="307"/>
      <c r="C125" s="307"/>
      <c r="D125" s="307"/>
      <c r="E125" s="307"/>
      <c r="F125" s="309"/>
      <c r="G125" s="307"/>
      <c r="H125" s="307"/>
      <c r="I125" s="249"/>
    </row>
    <row r="126" spans="1:10" ht="18.75">
      <c r="A126" s="307"/>
      <c r="B126" s="307"/>
      <c r="C126" s="307"/>
      <c r="D126" s="307"/>
      <c r="E126" s="307"/>
      <c r="F126" s="309"/>
      <c r="G126" s="307"/>
      <c r="H126" s="307"/>
      <c r="I126" s="249"/>
    </row>
    <row r="127" spans="1:10" ht="18.75">
      <c r="A127" s="307"/>
      <c r="B127" s="307"/>
      <c r="C127" s="307"/>
      <c r="D127" s="307"/>
      <c r="E127" s="307"/>
      <c r="F127" s="309"/>
      <c r="G127" s="307"/>
      <c r="H127" s="307"/>
      <c r="I127" s="249"/>
    </row>
    <row r="128" spans="1:10" ht="18.75">
      <c r="A128" s="307"/>
      <c r="B128" s="307"/>
      <c r="C128" s="307"/>
      <c r="D128" s="307"/>
      <c r="E128" s="307"/>
      <c r="F128" s="309"/>
      <c r="G128" s="307"/>
      <c r="H128" s="307"/>
      <c r="I128" s="249"/>
    </row>
    <row r="129" spans="1:9" ht="18.75">
      <c r="A129" s="307"/>
      <c r="B129" s="307"/>
      <c r="C129" s="307"/>
      <c r="D129" s="307"/>
      <c r="E129" s="307"/>
      <c r="F129" s="309"/>
      <c r="G129" s="307"/>
      <c r="H129" s="307"/>
      <c r="I129" s="249"/>
    </row>
    <row r="130" spans="1:9" ht="18.75">
      <c r="A130" s="307"/>
      <c r="B130" s="307"/>
      <c r="C130" s="307"/>
      <c r="D130" s="307"/>
      <c r="E130" s="307"/>
      <c r="F130" s="309"/>
      <c r="G130" s="307"/>
      <c r="H130" s="307"/>
      <c r="I130" s="249"/>
    </row>
    <row r="131" spans="1:9" ht="18.75">
      <c r="A131" s="307"/>
      <c r="B131" s="307"/>
      <c r="C131" s="307"/>
      <c r="D131" s="307"/>
      <c r="E131" s="307"/>
      <c r="F131" s="309"/>
      <c r="G131" s="307"/>
      <c r="H131" s="307"/>
      <c r="I131" s="249"/>
    </row>
    <row r="132" spans="1:9" ht="18.75">
      <c r="A132" s="307"/>
      <c r="B132" s="307"/>
      <c r="C132" s="307"/>
      <c r="D132" s="307"/>
      <c r="E132" s="307"/>
      <c r="F132" s="309"/>
      <c r="G132" s="307"/>
      <c r="H132" s="307"/>
      <c r="I132" s="249"/>
    </row>
    <row r="133" spans="1:9" ht="18.75">
      <c r="A133" s="307"/>
      <c r="B133" s="307"/>
      <c r="C133" s="307"/>
      <c r="D133" s="307"/>
      <c r="E133" s="307"/>
      <c r="F133" s="309"/>
      <c r="G133" s="307"/>
      <c r="H133" s="307"/>
      <c r="I133" s="249"/>
    </row>
    <row r="250" spans="1:1">
      <c r="A250" s="248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topLeftCell="A2" zoomScale="60" workbookViewId="0">
      <selection activeCell="B29" sqref="B29"/>
    </sheetView>
  </sheetViews>
  <sheetFormatPr defaultRowHeight="13.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1"/>
  </cols>
  <sheetData>
    <row r="1" spans="1:5" ht="18.75" customHeight="1">
      <c r="A1" s="708" t="s">
        <v>0</v>
      </c>
      <c r="B1" s="708"/>
      <c r="C1" s="708"/>
      <c r="D1" s="708"/>
      <c r="E1" s="708"/>
    </row>
    <row r="2" spans="1:5" ht="16.5" customHeight="1">
      <c r="A2" s="3" t="s">
        <v>1</v>
      </c>
      <c r="B2" s="4" t="s">
        <v>2</v>
      </c>
    </row>
    <row r="3" spans="1:5" ht="16.5" customHeight="1">
      <c r="A3" s="5" t="s">
        <v>3</v>
      </c>
      <c r="B3" s="5" t="s">
        <v>122</v>
      </c>
      <c r="D3" s="6"/>
      <c r="E3" s="7"/>
    </row>
    <row r="4" spans="1:5" ht="16.5" customHeight="1">
      <c r="A4" s="8" t="s">
        <v>4</v>
      </c>
      <c r="B4" s="9" t="s">
        <v>128</v>
      </c>
      <c r="C4" s="7"/>
      <c r="D4" s="7"/>
      <c r="E4" s="7"/>
    </row>
    <row r="5" spans="1:5" ht="16.5" customHeight="1">
      <c r="A5" s="8" t="s">
        <v>6</v>
      </c>
      <c r="B5" s="6">
        <v>99.3</v>
      </c>
      <c r="C5" s="7"/>
      <c r="D5" s="7"/>
      <c r="E5" s="7"/>
    </row>
    <row r="6" spans="1:5" ht="16.5" customHeight="1">
      <c r="A6" s="5" t="s">
        <v>7</v>
      </c>
      <c r="B6" s="9">
        <f>EFFAVIRENZ!D43</f>
        <v>30.34</v>
      </c>
      <c r="C6" s="7"/>
      <c r="D6" s="7"/>
      <c r="E6" s="7"/>
    </row>
    <row r="7" spans="1:5" ht="16.5" customHeight="1">
      <c r="A7" s="5" t="s">
        <v>8</v>
      </c>
      <c r="B7" s="10">
        <f>B6/50*10/25</f>
        <v>0.24271999999999999</v>
      </c>
      <c r="C7" s="7"/>
      <c r="D7" s="7"/>
      <c r="E7" s="7"/>
    </row>
    <row r="8" spans="1:5" ht="15.75" customHeight="1">
      <c r="A8" s="7"/>
      <c r="B8" s="11"/>
      <c r="C8" s="7"/>
      <c r="D8" s="7"/>
      <c r="E8" s="7"/>
    </row>
    <row r="9" spans="1:5" ht="16.5" customHeight="1">
      <c r="A9" s="12" t="s">
        <v>10</v>
      </c>
      <c r="B9" s="13" t="s">
        <v>11</v>
      </c>
      <c r="C9" s="12" t="s">
        <v>12</v>
      </c>
      <c r="D9" s="12" t="s">
        <v>13</v>
      </c>
      <c r="E9" s="12" t="s">
        <v>14</v>
      </c>
    </row>
    <row r="10" spans="1:5" ht="16.5" customHeight="1">
      <c r="A10" s="14">
        <v>1</v>
      </c>
      <c r="B10" s="15">
        <v>9157385</v>
      </c>
      <c r="C10" s="15">
        <v>152086.20000000001</v>
      </c>
      <c r="D10" s="16">
        <v>1.1000000000000001</v>
      </c>
      <c r="E10" s="17">
        <v>23.3</v>
      </c>
    </row>
    <row r="11" spans="1:5" ht="16.5" customHeight="1">
      <c r="A11" s="14">
        <v>2</v>
      </c>
      <c r="B11" s="15">
        <v>9196243</v>
      </c>
      <c r="C11" s="15">
        <v>152259.5</v>
      </c>
      <c r="D11" s="16">
        <v>1</v>
      </c>
      <c r="E11" s="16">
        <v>23.3</v>
      </c>
    </row>
    <row r="12" spans="1:5" ht="16.5" customHeight="1">
      <c r="A12" s="14">
        <v>3</v>
      </c>
      <c r="B12" s="15">
        <v>9196531</v>
      </c>
      <c r="C12" s="15">
        <v>152438.20000000001</v>
      </c>
      <c r="D12" s="16">
        <v>1.1000000000000001</v>
      </c>
      <c r="E12" s="16">
        <v>23.3</v>
      </c>
    </row>
    <row r="13" spans="1:5" ht="16.5" customHeight="1">
      <c r="A13" s="14">
        <v>4</v>
      </c>
      <c r="B13" s="15">
        <v>9179594</v>
      </c>
      <c r="C13" s="15">
        <v>152436.5</v>
      </c>
      <c r="D13" s="16">
        <v>1.1000000000000001</v>
      </c>
      <c r="E13" s="16">
        <v>23.3</v>
      </c>
    </row>
    <row r="14" spans="1:5" ht="16.5" customHeight="1">
      <c r="A14" s="14">
        <v>5</v>
      </c>
      <c r="B14" s="15">
        <v>9172725</v>
      </c>
      <c r="C14" s="15">
        <v>151887.29999999999</v>
      </c>
      <c r="D14" s="16">
        <v>1</v>
      </c>
      <c r="E14" s="16">
        <v>23.3</v>
      </c>
    </row>
    <row r="15" spans="1:5" ht="16.5" customHeight="1">
      <c r="A15" s="14">
        <v>6</v>
      </c>
      <c r="B15" s="18">
        <v>9181934</v>
      </c>
      <c r="C15" s="18">
        <v>152242.5</v>
      </c>
      <c r="D15" s="19">
        <v>1.1000000000000001</v>
      </c>
      <c r="E15" s="19">
        <v>23.3</v>
      </c>
    </row>
    <row r="16" spans="1:5" ht="16.5" customHeight="1">
      <c r="A16" s="20" t="s">
        <v>15</v>
      </c>
      <c r="B16" s="21">
        <f>AVERAGE(B10:B15)</f>
        <v>9180735.333333334</v>
      </c>
      <c r="C16" s="22">
        <f>AVERAGE(C10:C15)</f>
        <v>152225.03333333333</v>
      </c>
      <c r="D16" s="23">
        <f>AVERAGE(D10:D15)</f>
        <v>1.0666666666666667</v>
      </c>
      <c r="E16" s="23">
        <f>AVERAGE(E10:E15)</f>
        <v>23.3</v>
      </c>
    </row>
    <row r="17" spans="1:5" ht="16.5" customHeight="1">
      <c r="A17" s="24" t="s">
        <v>16</v>
      </c>
      <c r="B17" s="25">
        <f>(STDEV(B10:B15)/B16)</f>
        <v>1.6171663032848536E-3</v>
      </c>
      <c r="C17" s="26"/>
      <c r="D17" s="26"/>
      <c r="E17" s="27"/>
    </row>
    <row r="18" spans="1:5" s="2" customFormat="1" ht="16.5" customHeight="1">
      <c r="A18" s="28" t="s">
        <v>17</v>
      </c>
      <c r="B18" s="29">
        <f>COUNT(B10:B15)</f>
        <v>6</v>
      </c>
      <c r="C18" s="30"/>
      <c r="D18" s="31"/>
      <c r="E18" s="32"/>
    </row>
    <row r="19" spans="1:5" s="2" customFormat="1" ht="15.75" customHeight="1">
      <c r="A19" s="7"/>
      <c r="B19" s="7"/>
      <c r="C19" s="7"/>
      <c r="D19" s="7"/>
      <c r="E19" s="7"/>
    </row>
    <row r="20" spans="1:5" s="2" customFormat="1" ht="16.5" customHeight="1">
      <c r="A20" s="8" t="s">
        <v>18</v>
      </c>
      <c r="B20" s="33" t="s">
        <v>19</v>
      </c>
      <c r="C20" s="34"/>
      <c r="D20" s="34"/>
      <c r="E20" s="34"/>
    </row>
    <row r="21" spans="1:5" ht="16.5" customHeight="1">
      <c r="A21" s="8"/>
      <c r="B21" s="33" t="s">
        <v>20</v>
      </c>
      <c r="C21" s="34"/>
      <c r="D21" s="34"/>
      <c r="E21" s="34"/>
    </row>
    <row r="22" spans="1:5" ht="16.5" customHeight="1">
      <c r="A22" s="8"/>
      <c r="B22" s="33" t="s">
        <v>21</v>
      </c>
      <c r="C22" s="34"/>
      <c r="D22" s="34"/>
      <c r="E22" s="34"/>
    </row>
    <row r="23" spans="1:5" ht="15.75" customHeight="1">
      <c r="A23" s="7"/>
      <c r="B23" s="7"/>
      <c r="C23" s="7"/>
      <c r="D23" s="7"/>
      <c r="E23" s="7"/>
    </row>
    <row r="24" spans="1:5" ht="16.5" customHeight="1">
      <c r="A24" s="3" t="s">
        <v>1</v>
      </c>
      <c r="B24" s="4" t="s">
        <v>22</v>
      </c>
    </row>
    <row r="25" spans="1:5" ht="16.5" customHeight="1">
      <c r="A25" s="8" t="s">
        <v>4</v>
      </c>
      <c r="B25" s="5" t="s">
        <v>128</v>
      </c>
      <c r="C25" s="7"/>
      <c r="D25" s="7"/>
      <c r="E25" s="7"/>
    </row>
    <row r="26" spans="1:5" ht="16.5" customHeight="1">
      <c r="A26" s="8" t="s">
        <v>6</v>
      </c>
      <c r="B26" s="9">
        <v>99.3</v>
      </c>
      <c r="C26" s="7"/>
      <c r="D26" s="7"/>
      <c r="E26" s="7"/>
    </row>
    <row r="27" spans="1:5" ht="16.5" customHeight="1">
      <c r="A27" s="5" t="s">
        <v>7</v>
      </c>
      <c r="B27" s="9">
        <f>EFFAVIRENZ!D96</f>
        <v>28.66</v>
      </c>
      <c r="C27" s="7"/>
      <c r="D27" s="7"/>
      <c r="E27" s="7"/>
    </row>
    <row r="28" spans="1:5" ht="16.5" customHeight="1">
      <c r="A28" s="5" t="s">
        <v>8</v>
      </c>
      <c r="B28" s="10">
        <f>B27/50</f>
        <v>0.57320000000000004</v>
      </c>
      <c r="C28" s="7"/>
      <c r="D28" s="7"/>
      <c r="E28" s="7"/>
    </row>
    <row r="29" spans="1:5" ht="15.75" customHeight="1">
      <c r="A29" s="7"/>
      <c r="B29" s="7"/>
      <c r="C29" s="7"/>
      <c r="D29" s="7"/>
      <c r="E29" s="7"/>
    </row>
    <row r="30" spans="1:5" ht="16.5" customHeight="1">
      <c r="A30" s="12" t="s">
        <v>10</v>
      </c>
      <c r="B30" s="13" t="s">
        <v>11</v>
      </c>
      <c r="C30" s="12" t="s">
        <v>12</v>
      </c>
      <c r="D30" s="12" t="s">
        <v>13</v>
      </c>
      <c r="E30" s="12" t="s">
        <v>14</v>
      </c>
    </row>
    <row r="31" spans="1:5" ht="16.5" customHeight="1">
      <c r="A31" s="14">
        <v>1</v>
      </c>
      <c r="B31" s="811">
        <v>233009243</v>
      </c>
      <c r="C31" s="811">
        <v>124355.7</v>
      </c>
      <c r="D31" s="812">
        <v>1.0900000000000001</v>
      </c>
      <c r="E31" s="813">
        <v>23.53</v>
      </c>
    </row>
    <row r="32" spans="1:5" ht="16.5" customHeight="1">
      <c r="A32" s="14">
        <v>2</v>
      </c>
      <c r="B32" s="811">
        <v>234241647</v>
      </c>
      <c r="C32" s="811">
        <v>122773.2</v>
      </c>
      <c r="D32" s="812">
        <v>1.1100000000000001</v>
      </c>
      <c r="E32" s="812">
        <v>23.53</v>
      </c>
    </row>
    <row r="33" spans="1:7" ht="16.5" customHeight="1">
      <c r="A33" s="14">
        <v>3</v>
      </c>
      <c r="B33" s="811">
        <v>233972167</v>
      </c>
      <c r="C33" s="811">
        <v>121879.3</v>
      </c>
      <c r="D33" s="812">
        <v>1.1100000000000001</v>
      </c>
      <c r="E33" s="812">
        <v>23.53</v>
      </c>
    </row>
    <row r="34" spans="1:7" ht="16.5" customHeight="1">
      <c r="A34" s="14">
        <v>4</v>
      </c>
      <c r="B34" s="811">
        <v>233994247</v>
      </c>
      <c r="C34" s="811">
        <v>121954.8</v>
      </c>
      <c r="D34" s="812">
        <v>1.1100000000000001</v>
      </c>
      <c r="E34" s="812">
        <v>23.53</v>
      </c>
    </row>
    <row r="35" spans="1:7" ht="16.5" customHeight="1">
      <c r="A35" s="14">
        <v>5</v>
      </c>
      <c r="B35" s="811">
        <v>233880971</v>
      </c>
      <c r="C35" s="811">
        <v>121891.6</v>
      </c>
      <c r="D35" s="812">
        <v>1.0900000000000001</v>
      </c>
      <c r="E35" s="812">
        <v>23.54</v>
      </c>
    </row>
    <row r="36" spans="1:7" ht="16.5" customHeight="1">
      <c r="A36" s="14">
        <v>6</v>
      </c>
      <c r="B36" s="814">
        <v>233868957</v>
      </c>
      <c r="C36" s="814">
        <v>121283.7</v>
      </c>
      <c r="D36" s="815">
        <v>1.0900000000000001</v>
      </c>
      <c r="E36" s="815">
        <v>23.53</v>
      </c>
    </row>
    <row r="37" spans="1:7" ht="16.5" customHeight="1">
      <c r="A37" s="20" t="s">
        <v>15</v>
      </c>
      <c r="B37" s="21">
        <f>AVERAGE(B31:B36)</f>
        <v>233827872</v>
      </c>
      <c r="C37" s="22">
        <f>AVERAGE(C31:C36)</f>
        <v>122356.38333333332</v>
      </c>
      <c r="D37" s="23">
        <f>AVERAGE(D31:D36)</f>
        <v>1.1000000000000001</v>
      </c>
      <c r="E37" s="23">
        <f>AVERAGE(E31:E36)</f>
        <v>23.531666666666666</v>
      </c>
    </row>
    <row r="38" spans="1:7" ht="16.5" customHeight="1">
      <c r="A38" s="24" t="s">
        <v>16</v>
      </c>
      <c r="B38" s="25">
        <f>(STDEV(B31:B36)/B37)</f>
        <v>1.8087473376394527E-3</v>
      </c>
      <c r="C38" s="26"/>
      <c r="D38" s="26"/>
      <c r="E38" s="27"/>
    </row>
    <row r="39" spans="1:7" s="2" customFormat="1" ht="16.5" customHeight="1">
      <c r="A39" s="28" t="s">
        <v>17</v>
      </c>
      <c r="B39" s="29">
        <f>COUNT(B31:B36)</f>
        <v>6</v>
      </c>
      <c r="C39" s="30"/>
      <c r="D39" s="31"/>
      <c r="E39" s="32"/>
    </row>
    <row r="40" spans="1:7" s="2" customFormat="1" ht="15.75" customHeight="1">
      <c r="A40" s="7"/>
      <c r="B40" s="7"/>
      <c r="C40" s="7"/>
      <c r="D40" s="7"/>
      <c r="E40" s="7"/>
    </row>
    <row r="41" spans="1:7" s="2" customFormat="1" ht="16.5" customHeight="1">
      <c r="A41" s="8" t="s">
        <v>18</v>
      </c>
      <c r="B41" s="33" t="s">
        <v>19</v>
      </c>
      <c r="C41" s="34"/>
      <c r="D41" s="34"/>
      <c r="E41" s="34"/>
    </row>
    <row r="42" spans="1:7" ht="16.5" customHeight="1">
      <c r="A42" s="8"/>
      <c r="B42" s="33" t="s">
        <v>20</v>
      </c>
      <c r="C42" s="34"/>
      <c r="D42" s="34"/>
      <c r="E42" s="34"/>
    </row>
    <row r="43" spans="1:7" ht="16.5" customHeight="1">
      <c r="A43" s="8"/>
      <c r="B43" s="33" t="s">
        <v>21</v>
      </c>
      <c r="C43" s="34"/>
      <c r="D43" s="34"/>
      <c r="E43" s="34"/>
    </row>
    <row r="44" spans="1:7" ht="14.25" customHeight="1" thickBot="1">
      <c r="A44" s="35"/>
      <c r="B44" s="36"/>
      <c r="D44" s="37"/>
      <c r="F44" s="1"/>
      <c r="G44" s="1"/>
    </row>
    <row r="45" spans="1:7" ht="15" customHeight="1">
      <c r="B45" s="709" t="s">
        <v>23</v>
      </c>
      <c r="C45" s="709"/>
      <c r="E45" s="43" t="s">
        <v>24</v>
      </c>
      <c r="F45" s="38"/>
      <c r="G45" s="43" t="s">
        <v>25</v>
      </c>
    </row>
    <row r="46" spans="1:7" ht="15" customHeight="1">
      <c r="A46" s="39" t="s">
        <v>26</v>
      </c>
      <c r="B46" s="40"/>
      <c r="C46" s="40"/>
      <c r="E46" s="40"/>
      <c r="G46" s="40"/>
    </row>
    <row r="47" spans="1:7" ht="15" customHeight="1">
      <c r="A47" s="39" t="s">
        <v>27</v>
      </c>
      <c r="B47" s="41"/>
      <c r="C47" s="41"/>
      <c r="E47" s="41"/>
      <c r="G47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79" zoomScale="50" zoomScaleNormal="60" zoomScaleSheetLayoutView="50" zoomScalePageLayoutView="42" workbookViewId="0">
      <selection activeCell="D114" sqref="D114"/>
    </sheetView>
  </sheetViews>
  <sheetFormatPr defaultColWidth="9.140625" defaultRowHeight="13.5"/>
  <cols>
    <col min="1" max="1" width="55.42578125" style="414" customWidth="1"/>
    <col min="2" max="2" width="33.7109375" style="414" customWidth="1"/>
    <col min="3" max="3" width="42.28515625" style="414" customWidth="1"/>
    <col min="4" max="4" width="30.5703125" style="414" customWidth="1"/>
    <col min="5" max="5" width="39.85546875" style="414" customWidth="1"/>
    <col min="6" max="6" width="30.7109375" style="414" customWidth="1"/>
    <col min="7" max="7" width="39.85546875" style="414" customWidth="1"/>
    <col min="8" max="8" width="30" style="414" customWidth="1"/>
    <col min="9" max="9" width="30.28515625" style="414" hidden="1" customWidth="1"/>
    <col min="10" max="10" width="30.42578125" style="414" customWidth="1"/>
    <col min="11" max="11" width="21.28515625" style="414" customWidth="1"/>
    <col min="12" max="12" width="9.140625" style="414"/>
    <col min="13" max="16384" width="9.140625" style="416"/>
  </cols>
  <sheetData>
    <row r="1" spans="1:9" ht="18.75" customHeight="1">
      <c r="A1" s="713" t="s">
        <v>42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>
      <c r="A7" s="713"/>
      <c r="B7" s="713"/>
      <c r="C7" s="713"/>
      <c r="D7" s="713"/>
      <c r="E7" s="713"/>
      <c r="F7" s="713"/>
      <c r="G7" s="713"/>
      <c r="H7" s="713"/>
      <c r="I7" s="713"/>
    </row>
    <row r="8" spans="1:9">
      <c r="A8" s="714" t="s">
        <v>43</v>
      </c>
      <c r="B8" s="714"/>
      <c r="C8" s="714"/>
      <c r="D8" s="714"/>
      <c r="E8" s="714"/>
      <c r="F8" s="714"/>
      <c r="G8" s="714"/>
      <c r="H8" s="714"/>
      <c r="I8" s="714"/>
    </row>
    <row r="9" spans="1:9">
      <c r="A9" s="714"/>
      <c r="B9" s="714"/>
      <c r="C9" s="714"/>
      <c r="D9" s="714"/>
      <c r="E9" s="714"/>
      <c r="F9" s="714"/>
      <c r="G9" s="714"/>
      <c r="H9" s="714"/>
      <c r="I9" s="714"/>
    </row>
    <row r="10" spans="1:9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thickBot="1">
      <c r="A15" s="415"/>
    </row>
    <row r="16" spans="1:9" ht="19.5" customHeight="1" thickBot="1">
      <c r="A16" s="715" t="s">
        <v>28</v>
      </c>
      <c r="B16" s="716"/>
      <c r="C16" s="716"/>
      <c r="D16" s="716"/>
      <c r="E16" s="716"/>
      <c r="F16" s="716"/>
      <c r="G16" s="716"/>
      <c r="H16" s="717"/>
    </row>
    <row r="17" spans="1:14" ht="20.25" customHeight="1">
      <c r="A17" s="718" t="s">
        <v>44</v>
      </c>
      <c r="B17" s="718"/>
      <c r="C17" s="718"/>
      <c r="D17" s="718"/>
      <c r="E17" s="718"/>
      <c r="F17" s="718"/>
      <c r="G17" s="718"/>
      <c r="H17" s="718"/>
    </row>
    <row r="18" spans="1:14" ht="26.25" customHeight="1">
      <c r="A18" s="417" t="s">
        <v>30</v>
      </c>
      <c r="B18" s="719" t="s">
        <v>122</v>
      </c>
      <c r="C18" s="719"/>
      <c r="D18" s="418"/>
      <c r="E18" s="419"/>
      <c r="F18" s="420"/>
      <c r="G18" s="420"/>
      <c r="H18" s="420"/>
    </row>
    <row r="19" spans="1:14" ht="26.25" customHeight="1">
      <c r="A19" s="417" t="s">
        <v>31</v>
      </c>
      <c r="B19" s="421" t="str">
        <f>'Tenofovir Disoproxil Fumarate'!B19</f>
        <v>NDQB201607043</v>
      </c>
      <c r="C19" s="420">
        <v>29</v>
      </c>
      <c r="D19" s="420"/>
      <c r="E19" s="420"/>
      <c r="F19" s="420"/>
      <c r="G19" s="420"/>
      <c r="H19" s="420"/>
    </row>
    <row r="20" spans="1:14" ht="26.25" customHeight="1">
      <c r="A20" s="417" t="s">
        <v>32</v>
      </c>
      <c r="B20" s="720" t="s">
        <v>123</v>
      </c>
      <c r="C20" s="720"/>
      <c r="D20" s="420"/>
      <c r="E20" s="420"/>
      <c r="F20" s="420"/>
      <c r="G20" s="420"/>
      <c r="H20" s="420"/>
    </row>
    <row r="21" spans="1:14" ht="26.25" customHeight="1">
      <c r="A21" s="417" t="s">
        <v>33</v>
      </c>
      <c r="B21" s="720" t="s">
        <v>9</v>
      </c>
      <c r="C21" s="720"/>
      <c r="D21" s="720"/>
      <c r="E21" s="720"/>
      <c r="F21" s="720"/>
      <c r="G21" s="720"/>
      <c r="H21" s="720"/>
      <c r="I21" s="422"/>
    </row>
    <row r="22" spans="1:14" ht="26.25" customHeight="1">
      <c r="A22" s="417" t="s">
        <v>34</v>
      </c>
      <c r="B22" s="423">
        <f>'Tenofovir Disoproxil Fumarate'!B22</f>
        <v>42590</v>
      </c>
      <c r="C22" s="420"/>
      <c r="D22" s="420"/>
      <c r="E22" s="420"/>
      <c r="F22" s="420"/>
      <c r="G22" s="420"/>
      <c r="H22" s="420"/>
    </row>
    <row r="23" spans="1:14" ht="26.25" customHeight="1">
      <c r="A23" s="417" t="s">
        <v>35</v>
      </c>
      <c r="B23" s="423">
        <f>'Tenofovir Disoproxil Fumarate'!B23</f>
        <v>42643</v>
      </c>
      <c r="C23" s="420"/>
      <c r="D23" s="420"/>
      <c r="E23" s="420"/>
      <c r="F23" s="420"/>
      <c r="G23" s="420"/>
      <c r="H23" s="420"/>
    </row>
    <row r="24" spans="1:14" ht="18.75">
      <c r="A24" s="417"/>
      <c r="B24" s="424"/>
    </row>
    <row r="25" spans="1:14" ht="18.75">
      <c r="A25" s="425" t="s">
        <v>1</v>
      </c>
      <c r="B25" s="424"/>
    </row>
    <row r="26" spans="1:14" ht="26.25" customHeight="1">
      <c r="A26" s="426" t="s">
        <v>4</v>
      </c>
      <c r="B26" s="719" t="s">
        <v>127</v>
      </c>
      <c r="C26" s="719"/>
    </row>
    <row r="27" spans="1:14" ht="26.25" customHeight="1">
      <c r="A27" s="427" t="s">
        <v>45</v>
      </c>
      <c r="B27" s="721" t="s">
        <v>131</v>
      </c>
      <c r="C27" s="721"/>
    </row>
    <row r="28" spans="1:14" ht="27" customHeight="1" thickBot="1">
      <c r="A28" s="427" t="s">
        <v>6</v>
      </c>
      <c r="B28" s="428">
        <v>99.3</v>
      </c>
    </row>
    <row r="29" spans="1:14" s="430" customFormat="1" ht="27" customHeight="1" thickBot="1">
      <c r="A29" s="427" t="s">
        <v>46</v>
      </c>
      <c r="B29" s="429">
        <v>0</v>
      </c>
      <c r="C29" s="722" t="s">
        <v>47</v>
      </c>
      <c r="D29" s="723"/>
      <c r="E29" s="723"/>
      <c r="F29" s="723"/>
      <c r="G29" s="724"/>
      <c r="I29" s="431"/>
      <c r="J29" s="431"/>
      <c r="K29" s="431"/>
      <c r="L29" s="431"/>
    </row>
    <row r="30" spans="1:14" s="430" customFormat="1" ht="19.5" customHeight="1" thickBot="1">
      <c r="A30" s="427" t="s">
        <v>48</v>
      </c>
      <c r="B30" s="432">
        <f>B28-B29</f>
        <v>99.3</v>
      </c>
      <c r="C30" s="433"/>
      <c r="D30" s="433"/>
      <c r="E30" s="433"/>
      <c r="F30" s="433"/>
      <c r="G30" s="434"/>
      <c r="I30" s="431"/>
      <c r="J30" s="431"/>
      <c r="K30" s="431"/>
      <c r="L30" s="431"/>
    </row>
    <row r="31" spans="1:14" s="430" customFormat="1" ht="27" customHeight="1" thickBot="1">
      <c r="A31" s="427" t="s">
        <v>49</v>
      </c>
      <c r="B31" s="435">
        <v>1</v>
      </c>
      <c r="C31" s="710" t="s">
        <v>50</v>
      </c>
      <c r="D31" s="711"/>
      <c r="E31" s="711"/>
      <c r="F31" s="711"/>
      <c r="G31" s="711"/>
      <c r="H31" s="712"/>
      <c r="I31" s="431"/>
      <c r="J31" s="431"/>
      <c r="K31" s="431"/>
      <c r="L31" s="431"/>
    </row>
    <row r="32" spans="1:14" s="430" customFormat="1" ht="27" customHeight="1" thickBot="1">
      <c r="A32" s="427" t="s">
        <v>51</v>
      </c>
      <c r="B32" s="435">
        <v>1</v>
      </c>
      <c r="C32" s="710" t="s">
        <v>52</v>
      </c>
      <c r="D32" s="711"/>
      <c r="E32" s="711"/>
      <c r="F32" s="711"/>
      <c r="G32" s="711"/>
      <c r="H32" s="712"/>
      <c r="I32" s="431"/>
      <c r="J32" s="431"/>
      <c r="K32" s="431"/>
      <c r="L32" s="436"/>
      <c r="M32" s="436"/>
      <c r="N32" s="437"/>
    </row>
    <row r="33" spans="1:14" s="430" customFormat="1" ht="17.25" customHeight="1">
      <c r="A33" s="427"/>
      <c r="B33" s="438"/>
      <c r="C33" s="439"/>
      <c r="D33" s="439"/>
      <c r="E33" s="439"/>
      <c r="F33" s="439"/>
      <c r="G33" s="439"/>
      <c r="H33" s="439"/>
      <c r="I33" s="431"/>
      <c r="J33" s="431"/>
      <c r="K33" s="431"/>
      <c r="L33" s="436"/>
      <c r="M33" s="436"/>
      <c r="N33" s="437"/>
    </row>
    <row r="34" spans="1:14" s="430" customFormat="1" ht="18.75">
      <c r="A34" s="427" t="s">
        <v>53</v>
      </c>
      <c r="B34" s="440">
        <f>B31/B32</f>
        <v>1</v>
      </c>
      <c r="C34" s="415" t="s">
        <v>54</v>
      </c>
      <c r="D34" s="415"/>
      <c r="E34" s="415"/>
      <c r="F34" s="415"/>
      <c r="G34" s="415"/>
      <c r="I34" s="431"/>
      <c r="J34" s="431"/>
      <c r="K34" s="431"/>
      <c r="L34" s="436"/>
      <c r="M34" s="436"/>
      <c r="N34" s="437"/>
    </row>
    <row r="35" spans="1:14" s="430" customFormat="1" ht="19.5" customHeight="1" thickBot="1">
      <c r="A35" s="427"/>
      <c r="B35" s="432"/>
      <c r="G35" s="415"/>
      <c r="I35" s="431"/>
      <c r="J35" s="431"/>
      <c r="K35" s="431"/>
      <c r="L35" s="436"/>
      <c r="M35" s="436"/>
      <c r="N35" s="437"/>
    </row>
    <row r="36" spans="1:14" s="430" customFormat="1" ht="27" customHeight="1" thickBot="1">
      <c r="A36" s="441" t="s">
        <v>55</v>
      </c>
      <c r="B36" s="442">
        <v>50</v>
      </c>
      <c r="C36" s="415"/>
      <c r="D36" s="725" t="s">
        <v>56</v>
      </c>
      <c r="E36" s="726"/>
      <c r="F36" s="725" t="s">
        <v>57</v>
      </c>
      <c r="G36" s="727"/>
      <c r="J36" s="431"/>
      <c r="K36" s="431"/>
      <c r="L36" s="436"/>
      <c r="M36" s="436"/>
      <c r="N36" s="437"/>
    </row>
    <row r="37" spans="1:14" s="430" customFormat="1" ht="27" customHeight="1" thickBot="1">
      <c r="A37" s="443" t="s">
        <v>58</v>
      </c>
      <c r="B37" s="444">
        <v>10</v>
      </c>
      <c r="C37" s="445" t="s">
        <v>59</v>
      </c>
      <c r="D37" s="446" t="s">
        <v>60</v>
      </c>
      <c r="E37" s="447" t="s">
        <v>61</v>
      </c>
      <c r="F37" s="446" t="s">
        <v>60</v>
      </c>
      <c r="G37" s="448" t="s">
        <v>61</v>
      </c>
      <c r="I37" s="449" t="s">
        <v>62</v>
      </c>
      <c r="J37" s="431"/>
      <c r="K37" s="431"/>
      <c r="L37" s="436"/>
      <c r="M37" s="436"/>
      <c r="N37" s="437"/>
    </row>
    <row r="38" spans="1:14" s="430" customFormat="1" ht="26.25" customHeight="1">
      <c r="A38" s="443" t="s">
        <v>63</v>
      </c>
      <c r="B38" s="444">
        <v>25</v>
      </c>
      <c r="C38" s="450">
        <v>1</v>
      </c>
      <c r="D38" s="451">
        <v>9216286</v>
      </c>
      <c r="E38" s="452">
        <f>IF(ISBLANK(D38),"-",$D$48/$D$45*D38)</f>
        <v>9177245.9955349956</v>
      </c>
      <c r="F38" s="451">
        <v>9549016</v>
      </c>
      <c r="G38" s="453">
        <f>IF(ISBLANK(F38),"-",$D$48/$F$45*F38)</f>
        <v>9109248.7958812397</v>
      </c>
      <c r="I38" s="454"/>
      <c r="J38" s="431"/>
      <c r="K38" s="431"/>
      <c r="L38" s="436"/>
      <c r="M38" s="436"/>
      <c r="N38" s="437"/>
    </row>
    <row r="39" spans="1:14" s="430" customFormat="1" ht="26.25" customHeight="1">
      <c r="A39" s="443" t="s">
        <v>64</v>
      </c>
      <c r="B39" s="444">
        <v>1</v>
      </c>
      <c r="C39" s="455">
        <v>2</v>
      </c>
      <c r="D39" s="456">
        <v>9180087</v>
      </c>
      <c r="E39" s="457">
        <f>IF(ISBLANK(D39),"-",$D$48/$D$45*D39)</f>
        <v>9141200.3337801006</v>
      </c>
      <c r="F39" s="456">
        <v>9527666</v>
      </c>
      <c r="G39" s="458">
        <f>IF(ISBLANK(F39),"-",$D$48/$F$45*F39)</f>
        <v>9088882.041674098</v>
      </c>
      <c r="I39" s="728">
        <f>ABS((F43/D43*D42)-F42)/D42</f>
        <v>6.8804861843619249E-3</v>
      </c>
      <c r="J39" s="431"/>
      <c r="K39" s="431"/>
      <c r="L39" s="436"/>
      <c r="M39" s="436"/>
      <c r="N39" s="437"/>
    </row>
    <row r="40" spans="1:14" ht="26.25" customHeight="1">
      <c r="A40" s="443" t="s">
        <v>65</v>
      </c>
      <c r="B40" s="444">
        <v>1</v>
      </c>
      <c r="C40" s="455">
        <v>3</v>
      </c>
      <c r="D40" s="456">
        <v>9169329</v>
      </c>
      <c r="E40" s="457">
        <f>IF(ISBLANK(D40),"-",$D$48/$D$45*D40)</f>
        <v>9130487.9044544511</v>
      </c>
      <c r="F40" s="456">
        <v>9507739</v>
      </c>
      <c r="G40" s="458">
        <f>IF(ISBLANK(F40),"-",$D$48/$F$45*F40)</f>
        <v>9069872.7530986555</v>
      </c>
      <c r="I40" s="728"/>
      <c r="L40" s="436"/>
      <c r="M40" s="436"/>
      <c r="N40" s="415"/>
    </row>
    <row r="41" spans="1:14" ht="27" customHeight="1" thickBot="1">
      <c r="A41" s="443" t="s">
        <v>66</v>
      </c>
      <c r="B41" s="444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6"/>
      <c r="M41" s="436"/>
      <c r="N41" s="415"/>
    </row>
    <row r="42" spans="1:14" ht="27" customHeight="1" thickBot="1">
      <c r="A42" s="443" t="s">
        <v>67</v>
      </c>
      <c r="B42" s="444">
        <v>1</v>
      </c>
      <c r="C42" s="464" t="s">
        <v>68</v>
      </c>
      <c r="D42" s="465">
        <f>AVERAGE(D38:D41)</f>
        <v>9188567.333333334</v>
      </c>
      <c r="E42" s="466">
        <f>AVERAGE(E38:E41)</f>
        <v>9149644.7445898484</v>
      </c>
      <c r="F42" s="465">
        <f>AVERAGE(F38:F41)</f>
        <v>9528140.333333334</v>
      </c>
      <c r="G42" s="467">
        <f>AVERAGE(G38:G41)</f>
        <v>9089334.5302179977</v>
      </c>
      <c r="H42" s="468"/>
    </row>
    <row r="43" spans="1:14" ht="26.25" customHeight="1">
      <c r="A43" s="443" t="s">
        <v>69</v>
      </c>
      <c r="B43" s="444">
        <v>1</v>
      </c>
      <c r="C43" s="469" t="s">
        <v>70</v>
      </c>
      <c r="D43" s="470">
        <v>30.34</v>
      </c>
      <c r="E43" s="415"/>
      <c r="F43" s="470">
        <v>31.67</v>
      </c>
      <c r="H43" s="468"/>
    </row>
    <row r="44" spans="1:14" ht="26.25" customHeight="1">
      <c r="A44" s="443" t="s">
        <v>71</v>
      </c>
      <c r="B44" s="444">
        <v>1</v>
      </c>
      <c r="C44" s="471" t="s">
        <v>72</v>
      </c>
      <c r="D44" s="472">
        <f>D43*$B$34</f>
        <v>30.34</v>
      </c>
      <c r="E44" s="473"/>
      <c r="F44" s="472">
        <f>F43*$B$34</f>
        <v>31.67</v>
      </c>
      <c r="H44" s="468"/>
    </row>
    <row r="45" spans="1:14" ht="19.5" customHeight="1" thickBot="1">
      <c r="A45" s="443" t="s">
        <v>73</v>
      </c>
      <c r="B45" s="455">
        <f>(B44/B43)*(B42/B41)*(B40/B39)*(B38/B37)*B36</f>
        <v>125</v>
      </c>
      <c r="C45" s="471" t="s">
        <v>74</v>
      </c>
      <c r="D45" s="474">
        <f>D44*$B$30/100</f>
        <v>30.127619999999997</v>
      </c>
      <c r="E45" s="475"/>
      <c r="F45" s="474">
        <f>F44*$B$30/100</f>
        <v>31.448310000000003</v>
      </c>
      <c r="H45" s="468"/>
    </row>
    <row r="46" spans="1:14" ht="19.5" customHeight="1" thickBot="1">
      <c r="A46" s="729" t="s">
        <v>75</v>
      </c>
      <c r="B46" s="730"/>
      <c r="C46" s="471" t="s">
        <v>76</v>
      </c>
      <c r="D46" s="476">
        <f>D45/$B$45</f>
        <v>0.24102095999999998</v>
      </c>
      <c r="E46" s="477"/>
      <c r="F46" s="478">
        <f>F45/$B$45</f>
        <v>0.25158648</v>
      </c>
      <c r="H46" s="468"/>
    </row>
    <row r="47" spans="1:14" ht="27" customHeight="1" thickBot="1">
      <c r="A47" s="731"/>
      <c r="B47" s="732"/>
      <c r="C47" s="479" t="s">
        <v>77</v>
      </c>
      <c r="D47" s="480">
        <v>0.24</v>
      </c>
      <c r="E47" s="481"/>
      <c r="F47" s="477"/>
      <c r="H47" s="468"/>
    </row>
    <row r="48" spans="1:14" ht="18.75">
      <c r="C48" s="482" t="s">
        <v>78</v>
      </c>
      <c r="D48" s="474">
        <f>D47*$B$45</f>
        <v>30</v>
      </c>
      <c r="F48" s="483"/>
      <c r="H48" s="468"/>
    </row>
    <row r="49" spans="1:12" ht="19.5" customHeight="1" thickBot="1">
      <c r="C49" s="484" t="s">
        <v>79</v>
      </c>
      <c r="D49" s="485">
        <f>D48/B34</f>
        <v>30</v>
      </c>
      <c r="F49" s="483"/>
      <c r="H49" s="468"/>
    </row>
    <row r="50" spans="1:12" ht="18.75">
      <c r="C50" s="441" t="s">
        <v>80</v>
      </c>
      <c r="D50" s="486">
        <f>AVERAGE(E38:E41,G38:G41)</f>
        <v>9119489.6374039222</v>
      </c>
      <c r="F50" s="487"/>
      <c r="H50" s="468"/>
    </row>
    <row r="51" spans="1:12" ht="18.75">
      <c r="C51" s="443" t="s">
        <v>81</v>
      </c>
      <c r="D51" s="488">
        <f>STDEV(E38:E41,G38:G41)/D50</f>
        <v>4.2275332449365696E-3</v>
      </c>
      <c r="F51" s="487"/>
      <c r="H51" s="468"/>
    </row>
    <row r="52" spans="1:12" ht="19.5" customHeight="1" thickBot="1">
      <c r="C52" s="489" t="s">
        <v>17</v>
      </c>
      <c r="D52" s="490">
        <f>COUNT(E38:E41,G38:G41)</f>
        <v>6</v>
      </c>
      <c r="F52" s="487"/>
    </row>
    <row r="54" spans="1:12" ht="18.75">
      <c r="A54" s="491" t="s">
        <v>1</v>
      </c>
      <c r="B54" s="492" t="s">
        <v>82</v>
      </c>
    </row>
    <row r="55" spans="1:12" ht="18.75">
      <c r="A55" s="415" t="s">
        <v>83</v>
      </c>
      <c r="B55" s="493" t="str">
        <f>B21</f>
        <v>Tenofovir Disoproxil Fumarate 300mg, Lamivudine 300mg, Efavirenz 600mg</v>
      </c>
    </row>
    <row r="56" spans="1:12" ht="26.25" customHeight="1">
      <c r="A56" s="493" t="s">
        <v>84</v>
      </c>
      <c r="B56" s="494">
        <v>600</v>
      </c>
      <c r="C56" s="415" t="str">
        <f>B20</f>
        <v xml:space="preserve">Tenofovir Disoproxil Fumarate 300mg, Lamivudine 300mg &amp; Efavirenz 600mg </v>
      </c>
      <c r="H56" s="473"/>
    </row>
    <row r="57" spans="1:12" ht="18.75">
      <c r="A57" s="493" t="s">
        <v>85</v>
      </c>
      <c r="B57" s="495">
        <f>'Tenofovir Disoproxil Fumarate'!B57</f>
        <v>1890.5280000000002</v>
      </c>
      <c r="H57" s="473"/>
    </row>
    <row r="58" spans="1:12" ht="19.5" customHeight="1" thickBot="1">
      <c r="H58" s="473"/>
    </row>
    <row r="59" spans="1:12" s="430" customFormat="1" ht="27" customHeight="1" thickBot="1">
      <c r="A59" s="441" t="s">
        <v>86</v>
      </c>
      <c r="B59" s="442">
        <v>250</v>
      </c>
      <c r="C59" s="415"/>
      <c r="D59" s="496" t="s">
        <v>87</v>
      </c>
      <c r="E59" s="497" t="s">
        <v>59</v>
      </c>
      <c r="F59" s="497" t="s">
        <v>60</v>
      </c>
      <c r="G59" s="497" t="s">
        <v>88</v>
      </c>
      <c r="H59" s="445" t="s">
        <v>89</v>
      </c>
      <c r="L59" s="431"/>
    </row>
    <row r="60" spans="1:12" s="430" customFormat="1" ht="26.25" customHeight="1">
      <c r="A60" s="443" t="s">
        <v>90</v>
      </c>
      <c r="B60" s="444">
        <v>3</v>
      </c>
      <c r="C60" s="733" t="s">
        <v>91</v>
      </c>
      <c r="D60" s="736">
        <f>Lamivudine!D60</f>
        <v>1885.26</v>
      </c>
      <c r="E60" s="498">
        <v>1</v>
      </c>
      <c r="F60" s="499">
        <v>10153259</v>
      </c>
      <c r="G60" s="500">
        <f>IF(ISBLANK(F60),"-",(F60/$D$50*$D$47*$B$68)*($B$57/$D$60))</f>
        <v>558.23465749153627</v>
      </c>
      <c r="H60" s="501">
        <f t="shared" ref="H60:H71" si="0">IF(ISBLANK(F60),"-",G60/$B$56)</f>
        <v>0.93039109581922708</v>
      </c>
      <c r="L60" s="431"/>
    </row>
    <row r="61" spans="1:12" s="430" customFormat="1" ht="26.25" customHeight="1">
      <c r="A61" s="443" t="s">
        <v>92</v>
      </c>
      <c r="B61" s="444">
        <v>25</v>
      </c>
      <c r="C61" s="734"/>
      <c r="D61" s="737"/>
      <c r="E61" s="502">
        <v>2</v>
      </c>
      <c r="F61" s="456">
        <v>10120245</v>
      </c>
      <c r="G61" s="503">
        <f>IF(ISBLANK(F61),"-",(F61/$D$50*$D$47*$B$68)*($B$57/$D$60))</f>
        <v>556.41952020582085</v>
      </c>
      <c r="H61" s="504">
        <f t="shared" si="0"/>
        <v>0.92736586700970136</v>
      </c>
      <c r="L61" s="431"/>
    </row>
    <row r="62" spans="1:12" s="430" customFormat="1" ht="26.25" customHeight="1">
      <c r="A62" s="443" t="s">
        <v>93</v>
      </c>
      <c r="B62" s="444">
        <v>1</v>
      </c>
      <c r="C62" s="734"/>
      <c r="D62" s="737"/>
      <c r="E62" s="502">
        <v>3</v>
      </c>
      <c r="F62" s="505">
        <v>10161228</v>
      </c>
      <c r="G62" s="503">
        <f>IF(ISBLANK(F62),"-",(F62/$D$50*$D$47*$B$68)*($B$57/$D$60))</f>
        <v>558.67279976541613</v>
      </c>
      <c r="H62" s="504">
        <f t="shared" si="0"/>
        <v>0.93112133294236021</v>
      </c>
      <c r="L62" s="431"/>
    </row>
    <row r="63" spans="1:12" ht="27" customHeight="1" thickBot="1">
      <c r="A63" s="443" t="s">
        <v>94</v>
      </c>
      <c r="B63" s="444">
        <v>1</v>
      </c>
      <c r="C63" s="735"/>
      <c r="D63" s="738"/>
      <c r="E63" s="506">
        <v>4</v>
      </c>
      <c r="F63" s="507"/>
      <c r="G63" s="503" t="str">
        <f>IF(ISBLANK(F63),"-",(F63/$D$50*$D$47*$B$68)*($B$57/$D$60))</f>
        <v>-</v>
      </c>
      <c r="H63" s="504" t="str">
        <f t="shared" si="0"/>
        <v>-</v>
      </c>
    </row>
    <row r="64" spans="1:12" ht="26.25" customHeight="1">
      <c r="A64" s="443" t="s">
        <v>95</v>
      </c>
      <c r="B64" s="444">
        <v>1</v>
      </c>
      <c r="C64" s="733" t="s">
        <v>96</v>
      </c>
      <c r="D64" s="736">
        <f>Lamivudine!D64</f>
        <v>1899.38</v>
      </c>
      <c r="E64" s="498">
        <v>1</v>
      </c>
      <c r="F64" s="499">
        <v>10133202</v>
      </c>
      <c r="G64" s="508">
        <f>IF(ISBLANK(F64),"-",(F64/$D$50*$D$47*$B$68)*($B$57/$D$64))</f>
        <v>552.99018562538049</v>
      </c>
      <c r="H64" s="509">
        <f t="shared" si="0"/>
        <v>0.92165030937563419</v>
      </c>
    </row>
    <row r="65" spans="1:8" ht="26.25" customHeight="1">
      <c r="A65" s="443" t="s">
        <v>97</v>
      </c>
      <c r="B65" s="444">
        <v>1</v>
      </c>
      <c r="C65" s="734"/>
      <c r="D65" s="737"/>
      <c r="E65" s="502">
        <v>2</v>
      </c>
      <c r="F65" s="456">
        <v>10139361</v>
      </c>
      <c r="G65" s="510">
        <f>IF(ISBLANK(F65),"-",(F65/$D$50*$D$47*$B$68)*($B$57/$D$64))</f>
        <v>553.32629523350511</v>
      </c>
      <c r="H65" s="511">
        <f t="shared" si="0"/>
        <v>0.92221049205584182</v>
      </c>
    </row>
    <row r="66" spans="1:8" ht="26.25" customHeight="1">
      <c r="A66" s="443" t="s">
        <v>98</v>
      </c>
      <c r="B66" s="444">
        <v>1</v>
      </c>
      <c r="C66" s="734"/>
      <c r="D66" s="737"/>
      <c r="E66" s="502">
        <v>3</v>
      </c>
      <c r="F66" s="456">
        <v>10156773</v>
      </c>
      <c r="G66" s="510">
        <f>IF(ISBLANK(F66),"-",(F66/$D$50*$D$47*$B$68)*($B$57/$D$64))</f>
        <v>554.27650476373151</v>
      </c>
      <c r="H66" s="511">
        <f t="shared" si="0"/>
        <v>0.92379417460621915</v>
      </c>
    </row>
    <row r="67" spans="1:8" ht="27" customHeight="1" thickBot="1">
      <c r="A67" s="443" t="s">
        <v>99</v>
      </c>
      <c r="B67" s="444">
        <v>1</v>
      </c>
      <c r="C67" s="735"/>
      <c r="D67" s="738"/>
      <c r="E67" s="506">
        <v>4</v>
      </c>
      <c r="F67" s="507"/>
      <c r="G67" s="512" t="str">
        <f>IF(ISBLANK(F67),"-",(F67/$D$50*$D$47*$B$68)*($B$57/$D$64))</f>
        <v>-</v>
      </c>
      <c r="H67" s="513" t="str">
        <f t="shared" si="0"/>
        <v>-</v>
      </c>
    </row>
    <row r="68" spans="1:8" ht="26.25" customHeight="1">
      <c r="A68" s="443" t="s">
        <v>100</v>
      </c>
      <c r="B68" s="514">
        <f>(B67/B66)*(B65/B64)*(B63/B62)*(B61/B60)*B59</f>
        <v>2083.3333333333335</v>
      </c>
      <c r="C68" s="733" t="s">
        <v>101</v>
      </c>
      <c r="D68" s="736">
        <f>Lamivudine!D68</f>
        <v>1879.85</v>
      </c>
      <c r="E68" s="498">
        <v>1</v>
      </c>
      <c r="F68" s="499">
        <v>9849990</v>
      </c>
      <c r="G68" s="508">
        <f>IF(ISBLANK(F68),"-",(F68/$D$50*$D$47*$B$68)*($B$57/$D$68))</f>
        <v>543.11922626396063</v>
      </c>
      <c r="H68" s="504">
        <f t="shared" si="0"/>
        <v>0.90519871043993438</v>
      </c>
    </row>
    <row r="69" spans="1:8" ht="27" customHeight="1" thickBot="1">
      <c r="A69" s="489" t="s">
        <v>102</v>
      </c>
      <c r="B69" s="515">
        <f>(D47*B68)/B56*B57</f>
        <v>1575.4400000000003</v>
      </c>
      <c r="C69" s="734"/>
      <c r="D69" s="737"/>
      <c r="E69" s="502">
        <v>2</v>
      </c>
      <c r="F69" s="456">
        <v>9899551</v>
      </c>
      <c r="G69" s="510">
        <f>IF(ISBLANK(F69),"-",(F69/$D$50*$D$47*$B$68)*($B$57/$D$68))</f>
        <v>545.85197340105117</v>
      </c>
      <c r="H69" s="504">
        <f t="shared" si="0"/>
        <v>0.9097532890017519</v>
      </c>
    </row>
    <row r="70" spans="1:8" ht="26.25" customHeight="1">
      <c r="A70" s="741" t="s">
        <v>75</v>
      </c>
      <c r="B70" s="742"/>
      <c r="C70" s="734"/>
      <c r="D70" s="737"/>
      <c r="E70" s="502">
        <v>3</v>
      </c>
      <c r="F70" s="456">
        <v>9863595</v>
      </c>
      <c r="G70" s="510">
        <f>IF(ISBLANK(F70),"-",(F70/$D$50*$D$47*$B$68)*($B$57/$D$68))</f>
        <v>543.86939322588876</v>
      </c>
      <c r="H70" s="504">
        <f t="shared" si="0"/>
        <v>0.90644898870981461</v>
      </c>
    </row>
    <row r="71" spans="1:8" ht="27" customHeight="1" thickBot="1">
      <c r="A71" s="743"/>
      <c r="B71" s="744"/>
      <c r="C71" s="739"/>
      <c r="D71" s="738"/>
      <c r="E71" s="506">
        <v>4</v>
      </c>
      <c r="F71" s="507"/>
      <c r="G71" s="512" t="str">
        <f>IF(ISBLANK(F71),"-",(F71/$D$50*$D$47*$B$68)*($B$57/$D$68))</f>
        <v>-</v>
      </c>
      <c r="H71" s="516" t="str">
        <f t="shared" si="0"/>
        <v>-</v>
      </c>
    </row>
    <row r="72" spans="1:8" ht="26.25" customHeight="1">
      <c r="A72" s="473"/>
      <c r="B72" s="473"/>
      <c r="C72" s="473"/>
      <c r="D72" s="473"/>
      <c r="E72" s="473"/>
      <c r="F72" s="517" t="s">
        <v>68</v>
      </c>
      <c r="G72" s="518">
        <f>AVERAGE(G60:G71)</f>
        <v>551.86228399736558</v>
      </c>
      <c r="H72" s="519">
        <f>AVERAGE(H60:H71)</f>
        <v>0.91977047332894279</v>
      </c>
    </row>
    <row r="73" spans="1:8" ht="26.25" customHeight="1">
      <c r="C73" s="473"/>
      <c r="D73" s="473"/>
      <c r="E73" s="473"/>
      <c r="F73" s="520" t="s">
        <v>81</v>
      </c>
      <c r="G73" s="521">
        <f>STDEV(G60:G71)/G72</f>
        <v>1.097473835255292E-2</v>
      </c>
      <c r="H73" s="521">
        <f>STDEV(H60:H71)/H72</f>
        <v>1.0974738352540528E-2</v>
      </c>
    </row>
    <row r="74" spans="1:8" ht="27" customHeight="1" thickBot="1">
      <c r="A74" s="473"/>
      <c r="B74" s="473"/>
      <c r="C74" s="473"/>
      <c r="D74" s="473"/>
      <c r="E74" s="475"/>
      <c r="F74" s="522" t="s">
        <v>17</v>
      </c>
      <c r="G74" s="523">
        <f>COUNT(G60:G71)</f>
        <v>9</v>
      </c>
      <c r="H74" s="523">
        <f>COUNT(H60:H71)</f>
        <v>9</v>
      </c>
    </row>
    <row r="76" spans="1:8" ht="26.25" customHeight="1">
      <c r="A76" s="426" t="s">
        <v>103</v>
      </c>
      <c r="B76" s="427" t="s">
        <v>104</v>
      </c>
      <c r="C76" s="745" t="str">
        <f>B20</f>
        <v xml:space="preserve">Tenofovir Disoproxil Fumarate 300mg, Lamivudine 300mg &amp; Efavirenz 600mg </v>
      </c>
      <c r="D76" s="745"/>
      <c r="E76" s="415" t="s">
        <v>105</v>
      </c>
      <c r="F76" s="415"/>
      <c r="G76" s="524">
        <f>H72</f>
        <v>0.91977047332894279</v>
      </c>
      <c r="H76" s="432"/>
    </row>
    <row r="77" spans="1:8" ht="18.75">
      <c r="A77" s="425" t="s">
        <v>106</v>
      </c>
      <c r="B77" s="425" t="s">
        <v>107</v>
      </c>
    </row>
    <row r="78" spans="1:8" ht="18.75">
      <c r="A78" s="425"/>
      <c r="B78" s="425"/>
    </row>
    <row r="79" spans="1:8" ht="26.25" customHeight="1">
      <c r="A79" s="426" t="s">
        <v>4</v>
      </c>
      <c r="B79" s="740" t="str">
        <f>B26</f>
        <v>Effavirenz</v>
      </c>
      <c r="C79" s="740"/>
    </row>
    <row r="80" spans="1:8" ht="26.25" customHeight="1">
      <c r="A80" s="427" t="s">
        <v>45</v>
      </c>
      <c r="B80" s="740" t="str">
        <f>B27</f>
        <v>E15-3</v>
      </c>
      <c r="C80" s="740"/>
    </row>
    <row r="81" spans="1:12" ht="27" customHeight="1" thickBot="1">
      <c r="A81" s="427" t="s">
        <v>6</v>
      </c>
      <c r="B81" s="428">
        <f>B28</f>
        <v>99.3</v>
      </c>
    </row>
    <row r="82" spans="1:12" s="430" customFormat="1" ht="27" customHeight="1" thickBot="1">
      <c r="A82" s="427" t="s">
        <v>46</v>
      </c>
      <c r="B82" s="429">
        <v>0</v>
      </c>
      <c r="C82" s="722" t="s">
        <v>47</v>
      </c>
      <c r="D82" s="723"/>
      <c r="E82" s="723"/>
      <c r="F82" s="723"/>
      <c r="G82" s="724"/>
      <c r="I82" s="431"/>
      <c r="J82" s="431"/>
      <c r="K82" s="431"/>
      <c r="L82" s="431"/>
    </row>
    <row r="83" spans="1:12" s="430" customFormat="1" ht="19.5" customHeight="1" thickBot="1">
      <c r="A83" s="427" t="s">
        <v>48</v>
      </c>
      <c r="B83" s="432">
        <f>B81-B82</f>
        <v>99.3</v>
      </c>
      <c r="C83" s="433"/>
      <c r="D83" s="433"/>
      <c r="E83" s="433"/>
      <c r="F83" s="433"/>
      <c r="G83" s="434"/>
      <c r="I83" s="431"/>
      <c r="J83" s="431"/>
      <c r="K83" s="431"/>
      <c r="L83" s="431"/>
    </row>
    <row r="84" spans="1:12" s="430" customFormat="1" ht="27" customHeight="1" thickBot="1">
      <c r="A84" s="427" t="s">
        <v>49</v>
      </c>
      <c r="B84" s="435">
        <v>1</v>
      </c>
      <c r="C84" s="710" t="s">
        <v>108</v>
      </c>
      <c r="D84" s="711"/>
      <c r="E84" s="711"/>
      <c r="F84" s="711"/>
      <c r="G84" s="711"/>
      <c r="H84" s="712"/>
      <c r="I84" s="431"/>
      <c r="J84" s="431"/>
      <c r="K84" s="431"/>
      <c r="L84" s="431"/>
    </row>
    <row r="85" spans="1:12" s="430" customFormat="1" ht="27" customHeight="1" thickBot="1">
      <c r="A85" s="427" t="s">
        <v>51</v>
      </c>
      <c r="B85" s="435">
        <v>1</v>
      </c>
      <c r="C85" s="710" t="s">
        <v>109</v>
      </c>
      <c r="D85" s="711"/>
      <c r="E85" s="711"/>
      <c r="F85" s="711"/>
      <c r="G85" s="711"/>
      <c r="H85" s="712"/>
      <c r="I85" s="431"/>
      <c r="J85" s="431"/>
      <c r="K85" s="431"/>
      <c r="L85" s="431"/>
    </row>
    <row r="86" spans="1:12" s="430" customFormat="1" ht="18.75">
      <c r="A86" s="427"/>
      <c r="B86" s="438"/>
      <c r="C86" s="439"/>
      <c r="D86" s="439"/>
      <c r="E86" s="439"/>
      <c r="F86" s="439"/>
      <c r="G86" s="439"/>
      <c r="H86" s="439"/>
      <c r="I86" s="431"/>
      <c r="J86" s="431"/>
      <c r="K86" s="431"/>
      <c r="L86" s="431"/>
    </row>
    <row r="87" spans="1:12" s="430" customFormat="1" ht="18.75">
      <c r="A87" s="427" t="s">
        <v>53</v>
      </c>
      <c r="B87" s="440">
        <f>B84/B85</f>
        <v>1</v>
      </c>
      <c r="C87" s="415" t="s">
        <v>54</v>
      </c>
      <c r="D87" s="415"/>
      <c r="E87" s="415"/>
      <c r="F87" s="415"/>
      <c r="G87" s="415"/>
      <c r="I87" s="431"/>
      <c r="J87" s="431"/>
      <c r="K87" s="431"/>
      <c r="L87" s="431"/>
    </row>
    <row r="88" spans="1:12" ht="19.5" customHeight="1" thickBot="1">
      <c r="A88" s="425"/>
      <c r="B88" s="425"/>
    </row>
    <row r="89" spans="1:12" ht="27" customHeight="1" thickBot="1">
      <c r="A89" s="441" t="s">
        <v>55</v>
      </c>
      <c r="B89" s="442">
        <v>50</v>
      </c>
      <c r="D89" s="525" t="s">
        <v>56</v>
      </c>
      <c r="E89" s="526"/>
      <c r="F89" s="725" t="s">
        <v>57</v>
      </c>
      <c r="G89" s="727"/>
    </row>
    <row r="90" spans="1:12" ht="27" customHeight="1" thickBot="1">
      <c r="A90" s="443" t="s">
        <v>58</v>
      </c>
      <c r="B90" s="444">
        <v>1</v>
      </c>
      <c r="C90" s="527" t="s">
        <v>59</v>
      </c>
      <c r="D90" s="446" t="s">
        <v>60</v>
      </c>
      <c r="E90" s="447" t="s">
        <v>61</v>
      </c>
      <c r="F90" s="446" t="s">
        <v>60</v>
      </c>
      <c r="G90" s="528" t="s">
        <v>61</v>
      </c>
      <c r="I90" s="449" t="s">
        <v>62</v>
      </c>
    </row>
    <row r="91" spans="1:12" ht="26.25" customHeight="1">
      <c r="A91" s="443" t="s">
        <v>63</v>
      </c>
      <c r="B91" s="444">
        <v>1</v>
      </c>
      <c r="C91" s="529">
        <v>1</v>
      </c>
      <c r="D91" s="451">
        <v>231834780</v>
      </c>
      <c r="E91" s="452">
        <f>IF(ISBLANK(D91),"-",$D$101/$D$98*D91)</f>
        <v>244384923.35391703</v>
      </c>
      <c r="F91" s="451">
        <v>247491737</v>
      </c>
      <c r="G91" s="453">
        <f>IF(ISBLANK(F91),"-",$D$101/$F$98*F91)</f>
        <v>247340117.50796762</v>
      </c>
      <c r="I91" s="454"/>
    </row>
    <row r="92" spans="1:12" ht="26.25" customHeight="1">
      <c r="A92" s="443" t="s">
        <v>64</v>
      </c>
      <c r="B92" s="444">
        <v>1</v>
      </c>
      <c r="C92" s="473">
        <v>2</v>
      </c>
      <c r="D92" s="456">
        <v>231784528</v>
      </c>
      <c r="E92" s="457">
        <f>IF(ISBLANK(D92),"-",$D$101/$D$98*D92)</f>
        <v>244331951.01228487</v>
      </c>
      <c r="F92" s="456">
        <v>246270959</v>
      </c>
      <c r="G92" s="458">
        <f>IF(ISBLANK(F92),"-",$D$101/$F$98*F92)</f>
        <v>246120087.38643211</v>
      </c>
      <c r="I92" s="728">
        <f>ABS((F96/D96*D95)-F95)/D95</f>
        <v>1.2816563703934502E-2</v>
      </c>
    </row>
    <row r="93" spans="1:12" ht="26.25" customHeight="1">
      <c r="A93" s="443" t="s">
        <v>65</v>
      </c>
      <c r="B93" s="444">
        <v>1</v>
      </c>
      <c r="C93" s="473">
        <v>3</v>
      </c>
      <c r="D93" s="456">
        <v>230858435</v>
      </c>
      <c r="E93" s="457">
        <f>IF(ISBLANK(D93),"-",$D$101/$D$98*D93)</f>
        <v>243355724.89632592</v>
      </c>
      <c r="F93" s="456">
        <v>247659482</v>
      </c>
      <c r="G93" s="458">
        <f>IF(ISBLANK(F93),"-",$D$101/$F$98*F93)</f>
        <v>247507759.74327737</v>
      </c>
      <c r="I93" s="728"/>
    </row>
    <row r="94" spans="1:12" ht="27" customHeight="1" thickBot="1">
      <c r="A94" s="443" t="s">
        <v>66</v>
      </c>
      <c r="B94" s="444">
        <v>1</v>
      </c>
      <c r="C94" s="530">
        <v>4</v>
      </c>
      <c r="D94" s="460"/>
      <c r="E94" s="461" t="str">
        <f>IF(ISBLANK(D94),"-",$D$101/$D$98*D94)</f>
        <v>-</v>
      </c>
      <c r="F94" s="531"/>
      <c r="G94" s="462" t="str">
        <f>IF(ISBLANK(F94),"-",$D$101/$F$98*F94)</f>
        <v>-</v>
      </c>
      <c r="I94" s="463"/>
    </row>
    <row r="95" spans="1:12" ht="27" customHeight="1" thickBot="1">
      <c r="A95" s="443" t="s">
        <v>67</v>
      </c>
      <c r="B95" s="444">
        <v>1</v>
      </c>
      <c r="C95" s="427" t="s">
        <v>68</v>
      </c>
      <c r="D95" s="532">
        <f>AVERAGE(D91:D94)</f>
        <v>231492581</v>
      </c>
      <c r="E95" s="466">
        <f>AVERAGE(E91:E94)</f>
        <v>244024199.75417593</v>
      </c>
      <c r="F95" s="533">
        <f>AVERAGE(F91:F94)</f>
        <v>247140726</v>
      </c>
      <c r="G95" s="534">
        <f>AVERAGE(G91:G94)</f>
        <v>246989321.54589239</v>
      </c>
    </row>
    <row r="96" spans="1:12" ht="26.25" customHeight="1">
      <c r="A96" s="443" t="s">
        <v>69</v>
      </c>
      <c r="B96" s="428">
        <v>1</v>
      </c>
      <c r="C96" s="535" t="s">
        <v>110</v>
      </c>
      <c r="D96" s="536">
        <v>28.66</v>
      </c>
      <c r="E96" s="415"/>
      <c r="F96" s="470">
        <v>30.23</v>
      </c>
    </row>
    <row r="97" spans="1:10" ht="26.25" customHeight="1">
      <c r="A97" s="443" t="s">
        <v>71</v>
      </c>
      <c r="B97" s="428">
        <v>1</v>
      </c>
      <c r="C97" s="537" t="s">
        <v>111</v>
      </c>
      <c r="D97" s="538">
        <f>D96*$B$87</f>
        <v>28.66</v>
      </c>
      <c r="E97" s="473"/>
      <c r="F97" s="472">
        <f>F96*$B$87</f>
        <v>30.23</v>
      </c>
    </row>
    <row r="98" spans="1:10" ht="19.5" customHeight="1" thickBot="1">
      <c r="A98" s="443" t="s">
        <v>73</v>
      </c>
      <c r="B98" s="473">
        <f>(B97/B96)*(B95/B94)*(B93/B92)*(B91/B90)*B89</f>
        <v>50</v>
      </c>
      <c r="C98" s="537" t="s">
        <v>112</v>
      </c>
      <c r="D98" s="539">
        <f>D97*$B$83/100</f>
        <v>28.459379999999999</v>
      </c>
      <c r="E98" s="475"/>
      <c r="F98" s="474">
        <f>F97*$B$83/100</f>
        <v>30.01839</v>
      </c>
    </row>
    <row r="99" spans="1:10" ht="19.5" customHeight="1" thickBot="1">
      <c r="A99" s="729" t="s">
        <v>75</v>
      </c>
      <c r="B99" s="746"/>
      <c r="C99" s="537" t="s">
        <v>113</v>
      </c>
      <c r="D99" s="540">
        <f>D98/$B$98</f>
        <v>0.56918760000000002</v>
      </c>
      <c r="E99" s="475"/>
      <c r="F99" s="478">
        <f>F98/$B$98</f>
        <v>0.60036780000000001</v>
      </c>
      <c r="H99" s="468"/>
    </row>
    <row r="100" spans="1:10" ht="19.5" customHeight="1" thickBot="1">
      <c r="A100" s="731"/>
      <c r="B100" s="747"/>
      <c r="C100" s="537" t="s">
        <v>77</v>
      </c>
      <c r="D100" s="541">
        <f>$B$56/$B$116</f>
        <v>0.6</v>
      </c>
      <c r="F100" s="483"/>
      <c r="G100" s="542"/>
      <c r="H100" s="468"/>
    </row>
    <row r="101" spans="1:10" ht="18.75">
      <c r="C101" s="537" t="s">
        <v>78</v>
      </c>
      <c r="D101" s="538">
        <f>D100*$B$98</f>
        <v>30</v>
      </c>
      <c r="F101" s="483"/>
      <c r="H101" s="468"/>
    </row>
    <row r="102" spans="1:10" ht="19.5" customHeight="1" thickBot="1">
      <c r="C102" s="543" t="s">
        <v>79</v>
      </c>
      <c r="D102" s="544">
        <f>D101/B34</f>
        <v>30</v>
      </c>
      <c r="F102" s="487"/>
      <c r="H102" s="468"/>
      <c r="J102" s="545"/>
    </row>
    <row r="103" spans="1:10" ht="18.75">
      <c r="C103" s="546" t="s">
        <v>114</v>
      </c>
      <c r="D103" s="547">
        <f>AVERAGE(E91:E94,G91:G94)</f>
        <v>245506760.65003416</v>
      </c>
      <c r="F103" s="487"/>
      <c r="G103" s="542"/>
      <c r="H103" s="468"/>
      <c r="J103" s="548"/>
    </row>
    <row r="104" spans="1:10" ht="18.75">
      <c r="C104" s="520" t="s">
        <v>81</v>
      </c>
      <c r="D104" s="549">
        <f>STDEV(E91:E94,G91:G94)/D103</f>
        <v>7.0566521895628481E-3</v>
      </c>
      <c r="F104" s="487"/>
      <c r="H104" s="468"/>
      <c r="J104" s="548"/>
    </row>
    <row r="105" spans="1:10" ht="19.5" customHeight="1" thickBot="1">
      <c r="C105" s="522" t="s">
        <v>17</v>
      </c>
      <c r="D105" s="550">
        <f>COUNT(E91:E94,G91:G94)</f>
        <v>6</v>
      </c>
      <c r="F105" s="487"/>
      <c r="H105" s="468"/>
      <c r="J105" s="548"/>
    </row>
    <row r="106" spans="1:10" ht="19.5" customHeight="1" thickBot="1">
      <c r="A106" s="491"/>
      <c r="B106" s="491"/>
      <c r="C106" s="491"/>
      <c r="D106" s="491"/>
      <c r="E106" s="491"/>
    </row>
    <row r="107" spans="1:10" ht="26.25" customHeight="1">
      <c r="A107" s="441" t="s">
        <v>115</v>
      </c>
      <c r="B107" s="442">
        <v>1000</v>
      </c>
      <c r="C107" s="525" t="s">
        <v>116</v>
      </c>
      <c r="D107" s="551" t="s">
        <v>60</v>
      </c>
      <c r="E107" s="552" t="s">
        <v>117</v>
      </c>
      <c r="F107" s="553" t="s">
        <v>118</v>
      </c>
    </row>
    <row r="108" spans="1:10" ht="26.25" customHeight="1">
      <c r="A108" s="443" t="s">
        <v>119</v>
      </c>
      <c r="B108" s="444">
        <v>1</v>
      </c>
      <c r="C108" s="554">
        <v>1</v>
      </c>
      <c r="D108" s="555">
        <v>231342752</v>
      </c>
      <c r="E108" s="556">
        <f t="shared" ref="E108:E113" si="1">IF(ISBLANK(D108),"-",D108/$D$103*$D$100*$B$116)</f>
        <v>565.38423150743768</v>
      </c>
      <c r="F108" s="557">
        <f t="shared" ref="F108:F113" si="2">IF(ISBLANK(D108), "-", E108/$B$56)</f>
        <v>0.9423070525123961</v>
      </c>
    </row>
    <row r="109" spans="1:10" ht="26.25" customHeight="1">
      <c r="A109" s="443" t="s">
        <v>92</v>
      </c>
      <c r="B109" s="444">
        <v>1</v>
      </c>
      <c r="C109" s="554">
        <v>2</v>
      </c>
      <c r="D109" s="555">
        <v>232816324</v>
      </c>
      <c r="E109" s="558">
        <f t="shared" si="1"/>
        <v>568.9855302971697</v>
      </c>
      <c r="F109" s="559">
        <f t="shared" si="2"/>
        <v>0.94830921716194949</v>
      </c>
    </row>
    <row r="110" spans="1:10" ht="26.25" customHeight="1">
      <c r="A110" s="443" t="s">
        <v>93</v>
      </c>
      <c r="B110" s="444">
        <v>1</v>
      </c>
      <c r="C110" s="554">
        <v>3</v>
      </c>
      <c r="D110" s="555">
        <v>234461570</v>
      </c>
      <c r="E110" s="558">
        <f t="shared" si="1"/>
        <v>573.00638739041756</v>
      </c>
      <c r="F110" s="559">
        <f t="shared" si="2"/>
        <v>0.95501064565069593</v>
      </c>
    </row>
    <row r="111" spans="1:10" ht="26.25" customHeight="1">
      <c r="A111" s="443" t="s">
        <v>94</v>
      </c>
      <c r="B111" s="444">
        <v>1</v>
      </c>
      <c r="C111" s="554">
        <v>4</v>
      </c>
      <c r="D111" s="555">
        <v>232549703</v>
      </c>
      <c r="E111" s="558">
        <f t="shared" si="1"/>
        <v>568.33392868922851</v>
      </c>
      <c r="F111" s="559">
        <f t="shared" si="2"/>
        <v>0.94722321448204749</v>
      </c>
    </row>
    <row r="112" spans="1:10" ht="26.25" customHeight="1">
      <c r="A112" s="443" t="s">
        <v>95</v>
      </c>
      <c r="B112" s="444">
        <v>1</v>
      </c>
      <c r="C112" s="554">
        <v>5</v>
      </c>
      <c r="D112" s="555">
        <v>234213487</v>
      </c>
      <c r="E112" s="558">
        <f t="shared" si="1"/>
        <v>572.40009125581867</v>
      </c>
      <c r="F112" s="559">
        <f t="shared" si="2"/>
        <v>0.95400015209303113</v>
      </c>
    </row>
    <row r="113" spans="1:10" ht="26.25" customHeight="1">
      <c r="A113" s="443" t="s">
        <v>97</v>
      </c>
      <c r="B113" s="444">
        <v>1</v>
      </c>
      <c r="C113" s="560">
        <v>6</v>
      </c>
      <c r="D113" s="561">
        <v>230434819</v>
      </c>
      <c r="E113" s="562">
        <f t="shared" si="1"/>
        <v>563.1653117572946</v>
      </c>
      <c r="F113" s="563">
        <f t="shared" si="2"/>
        <v>0.93860885292882434</v>
      </c>
    </row>
    <row r="114" spans="1:10" ht="26.25" customHeight="1">
      <c r="A114" s="443" t="s">
        <v>98</v>
      </c>
      <c r="B114" s="444">
        <v>1</v>
      </c>
      <c r="C114" s="554"/>
      <c r="D114" s="473"/>
      <c r="E114" s="415"/>
      <c r="F114" s="564"/>
    </row>
    <row r="115" spans="1:10" ht="26.25" customHeight="1">
      <c r="A115" s="443" t="s">
        <v>99</v>
      </c>
      <c r="B115" s="444">
        <v>1</v>
      </c>
      <c r="C115" s="554"/>
      <c r="D115" s="565" t="s">
        <v>68</v>
      </c>
      <c r="E115" s="566">
        <f>AVERAGE(E108:E113)</f>
        <v>568.54591348289443</v>
      </c>
      <c r="F115" s="567">
        <f>AVERAGE(F108:F113)</f>
        <v>0.94757652247149071</v>
      </c>
    </row>
    <row r="116" spans="1:10" ht="27" customHeight="1" thickBot="1">
      <c r="A116" s="443" t="s">
        <v>100</v>
      </c>
      <c r="B116" s="455">
        <f>(B115/B114)*(B113/B112)*(B111/B110)*(B109/B108)*B107</f>
        <v>1000</v>
      </c>
      <c r="C116" s="568"/>
      <c r="D116" s="427" t="s">
        <v>81</v>
      </c>
      <c r="E116" s="569">
        <f>STDEV(E108:E113)/E115</f>
        <v>6.7635843207529871E-3</v>
      </c>
      <c r="F116" s="569">
        <f>STDEV(F108:F113)/F115</f>
        <v>6.7635843207210448E-3</v>
      </c>
      <c r="I116" s="415"/>
    </row>
    <row r="117" spans="1:10" ht="27" customHeight="1" thickBot="1">
      <c r="A117" s="729" t="s">
        <v>75</v>
      </c>
      <c r="B117" s="730"/>
      <c r="C117" s="570"/>
      <c r="D117" s="571" t="s">
        <v>17</v>
      </c>
      <c r="E117" s="572">
        <f>COUNT(E108:E113)</f>
        <v>6</v>
      </c>
      <c r="F117" s="572">
        <f>COUNT(F108:F113)</f>
        <v>6</v>
      </c>
      <c r="I117" s="415"/>
      <c r="J117" s="548"/>
    </row>
    <row r="118" spans="1:10" ht="19.5" customHeight="1" thickBot="1">
      <c r="A118" s="731"/>
      <c r="B118" s="732"/>
      <c r="C118" s="415"/>
      <c r="D118" s="415"/>
      <c r="E118" s="415"/>
      <c r="F118" s="473"/>
      <c r="G118" s="415"/>
      <c r="H118" s="415"/>
      <c r="I118" s="415"/>
    </row>
    <row r="119" spans="1:10" ht="18.75">
      <c r="A119" s="573"/>
      <c r="B119" s="439"/>
      <c r="C119" s="415"/>
      <c r="D119" s="415"/>
      <c r="E119" s="415"/>
      <c r="F119" s="473"/>
      <c r="G119" s="415"/>
      <c r="H119" s="415"/>
      <c r="I119" s="415"/>
    </row>
    <row r="120" spans="1:10" ht="26.25" customHeight="1">
      <c r="A120" s="426" t="s">
        <v>103</v>
      </c>
      <c r="B120" s="427" t="s">
        <v>120</v>
      </c>
      <c r="C120" s="745" t="str">
        <f>B20</f>
        <v xml:space="preserve">Tenofovir Disoproxil Fumarate 300mg, Lamivudine 300mg &amp; Efavirenz 600mg </v>
      </c>
      <c r="D120" s="745"/>
      <c r="E120" s="415" t="s">
        <v>121</v>
      </c>
      <c r="F120" s="415"/>
      <c r="G120" s="524">
        <f>F115</f>
        <v>0.94757652247149071</v>
      </c>
      <c r="H120" s="415"/>
      <c r="I120" s="415"/>
    </row>
    <row r="121" spans="1:10" ht="19.5" customHeight="1" thickBot="1">
      <c r="A121" s="574"/>
      <c r="B121" s="574"/>
      <c r="C121" s="575"/>
      <c r="D121" s="575"/>
      <c r="E121" s="575"/>
      <c r="F121" s="575"/>
      <c r="G121" s="575"/>
      <c r="H121" s="575"/>
    </row>
    <row r="122" spans="1:10" ht="18.75">
      <c r="B122" s="748" t="s">
        <v>23</v>
      </c>
      <c r="C122" s="748"/>
      <c r="E122" s="527" t="s">
        <v>24</v>
      </c>
      <c r="F122" s="576"/>
      <c r="G122" s="748" t="s">
        <v>25</v>
      </c>
      <c r="H122" s="748"/>
    </row>
    <row r="123" spans="1:10" ht="69.95" customHeight="1">
      <c r="A123" s="426" t="s">
        <v>26</v>
      </c>
      <c r="B123" s="577"/>
      <c r="C123" s="577"/>
      <c r="E123" s="577"/>
      <c r="F123" s="415"/>
      <c r="G123" s="577"/>
      <c r="H123" s="577"/>
    </row>
    <row r="124" spans="1:10" ht="69.95" customHeight="1">
      <c r="A124" s="426" t="s">
        <v>27</v>
      </c>
      <c r="B124" s="578"/>
      <c r="C124" s="578"/>
      <c r="E124" s="578"/>
      <c r="F124" s="415"/>
      <c r="G124" s="579"/>
      <c r="H124" s="579"/>
    </row>
    <row r="125" spans="1:10" ht="18.75">
      <c r="A125" s="473"/>
      <c r="B125" s="473"/>
      <c r="C125" s="473"/>
      <c r="D125" s="473"/>
      <c r="E125" s="473"/>
      <c r="F125" s="475"/>
      <c r="G125" s="473"/>
      <c r="H125" s="473"/>
      <c r="I125" s="415"/>
    </row>
    <row r="126" spans="1:10" ht="18.75">
      <c r="A126" s="473"/>
      <c r="B126" s="473"/>
      <c r="C126" s="473"/>
      <c r="D126" s="473"/>
      <c r="E126" s="473"/>
      <c r="F126" s="475"/>
      <c r="G126" s="473"/>
      <c r="H126" s="473"/>
      <c r="I126" s="415"/>
    </row>
    <row r="127" spans="1:10" ht="18.75">
      <c r="A127" s="473"/>
      <c r="B127" s="473"/>
      <c r="C127" s="473"/>
      <c r="D127" s="473"/>
      <c r="E127" s="473"/>
      <c r="F127" s="475"/>
      <c r="G127" s="473"/>
      <c r="H127" s="473"/>
      <c r="I127" s="415"/>
    </row>
    <row r="128" spans="1:10" ht="18.75">
      <c r="A128" s="473"/>
      <c r="B128" s="473"/>
      <c r="C128" s="473"/>
      <c r="D128" s="473"/>
      <c r="E128" s="473"/>
      <c r="F128" s="475"/>
      <c r="G128" s="473"/>
      <c r="H128" s="473"/>
      <c r="I128" s="415"/>
    </row>
    <row r="129" spans="1:9" ht="18.75">
      <c r="A129" s="473"/>
      <c r="B129" s="473"/>
      <c r="C129" s="473"/>
      <c r="D129" s="473"/>
      <c r="E129" s="473"/>
      <c r="F129" s="475"/>
      <c r="G129" s="473"/>
      <c r="H129" s="473"/>
      <c r="I129" s="415"/>
    </row>
    <row r="130" spans="1:9" ht="18.75">
      <c r="A130" s="473"/>
      <c r="B130" s="473"/>
      <c r="C130" s="473"/>
      <c r="D130" s="473"/>
      <c r="E130" s="473"/>
      <c r="F130" s="475"/>
      <c r="G130" s="473"/>
      <c r="H130" s="473"/>
      <c r="I130" s="415"/>
    </row>
    <row r="131" spans="1:9" ht="18.75">
      <c r="A131" s="473"/>
      <c r="B131" s="473"/>
      <c r="C131" s="473"/>
      <c r="D131" s="473"/>
      <c r="E131" s="473"/>
      <c r="F131" s="475"/>
      <c r="G131" s="473"/>
      <c r="H131" s="473"/>
      <c r="I131" s="415"/>
    </row>
    <row r="132" spans="1:9" ht="18.75">
      <c r="A132" s="473"/>
      <c r="B132" s="473"/>
      <c r="C132" s="473"/>
      <c r="D132" s="473"/>
      <c r="E132" s="473"/>
      <c r="F132" s="475"/>
      <c r="G132" s="473"/>
      <c r="H132" s="473"/>
      <c r="I132" s="415"/>
    </row>
    <row r="133" spans="1:9" ht="18.75">
      <c r="A133" s="473"/>
      <c r="B133" s="473"/>
      <c r="C133" s="473"/>
      <c r="D133" s="473"/>
      <c r="E133" s="473"/>
      <c r="F133" s="475"/>
      <c r="G133" s="473"/>
      <c r="H133" s="473"/>
      <c r="I133" s="415"/>
    </row>
    <row r="250" spans="1:1">
      <c r="A250" s="414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2016-09-29T10:28:02Z</cp:lastPrinted>
  <dcterms:created xsi:type="dcterms:W3CDTF">2005-07-05T10:19:27Z</dcterms:created>
  <dcterms:modified xsi:type="dcterms:W3CDTF">2016-09-29T10:48:58Z</dcterms:modified>
</cp:coreProperties>
</file>