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Tenofovir Disoproxil Fumarate" sheetId="3" r:id="rId3"/>
    <sheet name="SST (2)" sheetId="4" r:id="rId4"/>
    <sheet name="Lamivudine" sheetId="5" r:id="rId5"/>
    <sheet name="SST (3)" sheetId="8" r:id="rId6"/>
    <sheet name="Efavirenz" sheetId="9" r:id="rId7"/>
  </sheets>
  <definedNames>
    <definedName name="_xlnm.Print_Area" localSheetId="6">Efavirenz!$A$1:$N$125</definedName>
    <definedName name="_xlnm.Print_Area" localSheetId="4">Lamivudine!$A$1:$N$125</definedName>
    <definedName name="_xlnm.Print_Area" localSheetId="2">'Tenofovir Disoproxil Fumarate'!$A$1:$N$125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8" l="1"/>
  <c r="B41" i="8"/>
  <c r="B21" i="8"/>
  <c r="B20" i="8"/>
  <c r="F51" i="8"/>
  <c r="F30" i="8"/>
  <c r="B42" i="4"/>
  <c r="B41" i="4"/>
  <c r="B21" i="4"/>
  <c r="B20" i="4"/>
  <c r="B19" i="4"/>
  <c r="B42" i="1"/>
  <c r="B41" i="1"/>
  <c r="B21" i="1"/>
  <c r="B20" i="1"/>
  <c r="B19" i="1"/>
  <c r="E91" i="9"/>
  <c r="G91" i="9"/>
  <c r="F51" i="1" l="1"/>
  <c r="F30" i="1"/>
  <c r="G47" i="3"/>
  <c r="G120" i="3" l="1"/>
  <c r="F112" i="3"/>
  <c r="F110" i="3"/>
  <c r="F108" i="3"/>
  <c r="G91" i="3"/>
  <c r="B18" i="9" l="1"/>
  <c r="B18" i="5"/>
  <c r="D68" i="9"/>
  <c r="D64" i="9"/>
  <c r="D60" i="9"/>
  <c r="B57" i="9"/>
  <c r="C120" i="9"/>
  <c r="B116" i="9"/>
  <c r="D100" i="9" s="1"/>
  <c r="B98" i="9"/>
  <c r="F97" i="9"/>
  <c r="F98" i="9" s="1"/>
  <c r="D97" i="9"/>
  <c r="D98" i="9" s="1"/>
  <c r="F95" i="9"/>
  <c r="D95" i="9"/>
  <c r="G94" i="9"/>
  <c r="E94" i="9"/>
  <c r="B87" i="9"/>
  <c r="B83" i="9"/>
  <c r="B81" i="9"/>
  <c r="B80" i="9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F44" i="9"/>
  <c r="F45" i="9" s="1"/>
  <c r="D44" i="9"/>
  <c r="D45" i="9" s="1"/>
  <c r="F42" i="9"/>
  <c r="D42" i="9"/>
  <c r="G41" i="9"/>
  <c r="E41" i="9"/>
  <c r="B34" i="9"/>
  <c r="B30" i="9"/>
  <c r="B53" i="8"/>
  <c r="E51" i="8"/>
  <c r="D51" i="8"/>
  <c r="C51" i="8"/>
  <c r="B51" i="8"/>
  <c r="B52" i="8" s="1"/>
  <c r="B40" i="8"/>
  <c r="B39" i="8"/>
  <c r="B32" i="8"/>
  <c r="E30" i="8"/>
  <c r="D30" i="8"/>
  <c r="C30" i="8"/>
  <c r="B30" i="8"/>
  <c r="B31" i="8" s="1"/>
  <c r="B87" i="5"/>
  <c r="I92" i="9" l="1"/>
  <c r="I39" i="9"/>
  <c r="B69" i="9"/>
  <c r="D46" i="9"/>
  <c r="F46" i="9"/>
  <c r="D101" i="9"/>
  <c r="D99" i="9"/>
  <c r="F99" i="9"/>
  <c r="G39" i="9"/>
  <c r="D49" i="9"/>
  <c r="E40" i="9"/>
  <c r="G38" i="9"/>
  <c r="G40" i="9"/>
  <c r="E38" i="9"/>
  <c r="E39" i="9"/>
  <c r="E92" i="9" l="1"/>
  <c r="E93" i="9"/>
  <c r="G93" i="9"/>
  <c r="D102" i="9"/>
  <c r="G92" i="9"/>
  <c r="G42" i="9"/>
  <c r="D50" i="9"/>
  <c r="E42" i="9"/>
  <c r="D52" i="9"/>
  <c r="D103" i="9" l="1"/>
  <c r="E113" i="9" s="1"/>
  <c r="F113" i="9" s="1"/>
  <c r="G65" i="9"/>
  <c r="H65" i="9" s="1"/>
  <c r="G64" i="9"/>
  <c r="H64" i="9" s="1"/>
  <c r="E95" i="9"/>
  <c r="D105" i="9"/>
  <c r="G95" i="9"/>
  <c r="D51" i="9"/>
  <c r="G70" i="9"/>
  <c r="H70" i="9" s="1"/>
  <c r="G68" i="9"/>
  <c r="H68" i="9" s="1"/>
  <c r="G69" i="9"/>
  <c r="H69" i="9" s="1"/>
  <c r="G66" i="9"/>
  <c r="H66" i="9" s="1"/>
  <c r="G62" i="9"/>
  <c r="H62" i="9" s="1"/>
  <c r="G60" i="9"/>
  <c r="H60" i="9" s="1"/>
  <c r="G61" i="9"/>
  <c r="H61" i="9" s="1"/>
  <c r="E110" i="9" l="1"/>
  <c r="F110" i="9" s="1"/>
  <c r="E108" i="9"/>
  <c r="F108" i="9" s="1"/>
  <c r="D104" i="9"/>
  <c r="E109" i="9"/>
  <c r="F109" i="9" s="1"/>
  <c r="E111" i="9"/>
  <c r="F111" i="9" s="1"/>
  <c r="E112" i="9"/>
  <c r="F112" i="9" s="1"/>
  <c r="H74" i="9"/>
  <c r="H72" i="9"/>
  <c r="G76" i="9" s="1"/>
  <c r="F117" i="9" l="1"/>
  <c r="F115" i="9"/>
  <c r="G120" i="9" s="1"/>
  <c r="H73" i="9"/>
  <c r="F116" i="9" l="1"/>
  <c r="D68" i="5"/>
  <c r="D64" i="5"/>
  <c r="D60" i="5"/>
  <c r="B45" i="5"/>
  <c r="D48" i="5" s="1"/>
  <c r="C120" i="5"/>
  <c r="B116" i="5"/>
  <c r="D100" i="5" s="1"/>
  <c r="B98" i="5"/>
  <c r="F95" i="5"/>
  <c r="D95" i="5"/>
  <c r="F97" i="5"/>
  <c r="B81" i="5"/>
  <c r="B83" i="5" s="1"/>
  <c r="B80" i="5"/>
  <c r="B79" i="5"/>
  <c r="C76" i="5"/>
  <c r="B68" i="5"/>
  <c r="C56" i="5"/>
  <c r="B55" i="5"/>
  <c r="F42" i="5"/>
  <c r="D42" i="5"/>
  <c r="G41" i="5"/>
  <c r="E41" i="5"/>
  <c r="B34" i="5"/>
  <c r="F44" i="5" s="1"/>
  <c r="B30" i="5"/>
  <c r="B34" i="3"/>
  <c r="B53" i="4"/>
  <c r="E51" i="4"/>
  <c r="D51" i="4"/>
  <c r="C51" i="4"/>
  <c r="B51" i="4"/>
  <c r="B52" i="4" s="1"/>
  <c r="B40" i="4"/>
  <c r="B39" i="4"/>
  <c r="B32" i="4"/>
  <c r="E30" i="4"/>
  <c r="D30" i="4"/>
  <c r="C30" i="4"/>
  <c r="B30" i="4"/>
  <c r="B31" i="4" s="1"/>
  <c r="B40" i="1"/>
  <c r="B39" i="1"/>
  <c r="F45" i="5" l="1"/>
  <c r="G39" i="5" s="1"/>
  <c r="I92" i="5"/>
  <c r="D101" i="5"/>
  <c r="D102" i="5" s="1"/>
  <c r="F46" i="5"/>
  <c r="I39" i="5"/>
  <c r="D49" i="5"/>
  <c r="F98" i="5"/>
  <c r="G94" i="5"/>
  <c r="D44" i="5"/>
  <c r="D45" i="5" s="1"/>
  <c r="D46" i="5" s="1"/>
  <c r="D97" i="5"/>
  <c r="D98" i="5" s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B30" i="3"/>
  <c r="C46" i="2"/>
  <c r="D37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40" i="5" l="1"/>
  <c r="G38" i="5"/>
  <c r="E38" i="5"/>
  <c r="D25" i="2"/>
  <c r="D33" i="2"/>
  <c r="D41" i="2"/>
  <c r="B49" i="2"/>
  <c r="D26" i="2"/>
  <c r="D34" i="2"/>
  <c r="D42" i="2"/>
  <c r="D50" i="2"/>
  <c r="D30" i="2"/>
  <c r="D38" i="2"/>
  <c r="D29" i="2"/>
  <c r="B57" i="3"/>
  <c r="B69" i="3" s="1"/>
  <c r="B57" i="5"/>
  <c r="B69" i="5" s="1"/>
  <c r="E91" i="5"/>
  <c r="G91" i="5"/>
  <c r="G93" i="5"/>
  <c r="G92" i="5"/>
  <c r="F97" i="3"/>
  <c r="F98" i="3" s="1"/>
  <c r="F99" i="5"/>
  <c r="D99" i="5"/>
  <c r="I92" i="3"/>
  <c r="D101" i="3"/>
  <c r="E39" i="5"/>
  <c r="E92" i="5"/>
  <c r="E40" i="5"/>
  <c r="E94" i="5"/>
  <c r="E93" i="5"/>
  <c r="G42" i="5"/>
  <c r="I39" i="3"/>
  <c r="D44" i="3"/>
  <c r="D45" i="3" s="1"/>
  <c r="E38" i="3" s="1"/>
  <c r="F45" i="3"/>
  <c r="G38" i="3" s="1"/>
  <c r="D49" i="3"/>
  <c r="E41" i="3"/>
  <c r="D98" i="3"/>
  <c r="C50" i="2"/>
  <c r="D35" i="2"/>
  <c r="D27" i="2"/>
  <c r="D31" i="2"/>
  <c r="D39" i="2"/>
  <c r="D43" i="2"/>
  <c r="C49" i="2"/>
  <c r="D24" i="2"/>
  <c r="D28" i="2"/>
  <c r="D32" i="2"/>
  <c r="D36" i="2"/>
  <c r="D40" i="2"/>
  <c r="D49" i="2"/>
  <c r="G95" i="5" l="1"/>
  <c r="E91" i="3"/>
  <c r="D102" i="3"/>
  <c r="G92" i="3"/>
  <c r="F99" i="3"/>
  <c r="E94" i="3"/>
  <c r="G93" i="3"/>
  <c r="G94" i="3"/>
  <c r="G39" i="3"/>
  <c r="D46" i="3"/>
  <c r="E42" i="5"/>
  <c r="D52" i="5"/>
  <c r="D50" i="5"/>
  <c r="G65" i="5" s="1"/>
  <c r="H65" i="5" s="1"/>
  <c r="E95" i="5"/>
  <c r="D105" i="5"/>
  <c r="D103" i="5"/>
  <c r="E39" i="3"/>
  <c r="E40" i="3"/>
  <c r="F46" i="3"/>
  <c r="G41" i="3"/>
  <c r="G40" i="3"/>
  <c r="D99" i="3"/>
  <c r="E92" i="3"/>
  <c r="E93" i="3"/>
  <c r="G42" i="3" l="1"/>
  <c r="G95" i="3"/>
  <c r="G70" i="5"/>
  <c r="H70" i="5" s="1"/>
  <c r="G66" i="5"/>
  <c r="H66" i="5" s="1"/>
  <c r="G64" i="5"/>
  <c r="H64" i="5" s="1"/>
  <c r="G67" i="5"/>
  <c r="H67" i="5" s="1"/>
  <c r="G68" i="5"/>
  <c r="H68" i="5" s="1"/>
  <c r="D51" i="5"/>
  <c r="G61" i="5"/>
  <c r="H61" i="5" s="1"/>
  <c r="G60" i="5"/>
  <c r="H60" i="5" s="1"/>
  <c r="G69" i="5"/>
  <c r="H69" i="5" s="1"/>
  <c r="G63" i="5"/>
  <c r="H63" i="5" s="1"/>
  <c r="G62" i="5"/>
  <c r="H62" i="5" s="1"/>
  <c r="G71" i="5"/>
  <c r="H71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2" i="3"/>
  <c r="E42" i="3"/>
  <c r="D50" i="3"/>
  <c r="G65" i="3" s="1"/>
  <c r="H65" i="3" s="1"/>
  <c r="D103" i="3"/>
  <c r="E95" i="3"/>
  <c r="D105" i="3"/>
  <c r="D51" i="3"/>
  <c r="E108" i="3" l="1"/>
  <c r="H74" i="5"/>
  <c r="H72" i="5"/>
  <c r="G76" i="5" s="1"/>
  <c r="F115" i="5"/>
  <c r="G120" i="5" s="1"/>
  <c r="F117" i="5"/>
  <c r="G67" i="3"/>
  <c r="H67" i="3" s="1"/>
  <c r="G60" i="3"/>
  <c r="H60" i="3" s="1"/>
  <c r="G69" i="3"/>
  <c r="H69" i="3" s="1"/>
  <c r="G71" i="3"/>
  <c r="H71" i="3" s="1"/>
  <c r="G70" i="3"/>
  <c r="H70" i="3" s="1"/>
  <c r="G62" i="3"/>
  <c r="H62" i="3" s="1"/>
  <c r="G64" i="3"/>
  <c r="H64" i="3" s="1"/>
  <c r="G68" i="3"/>
  <c r="H68" i="3" s="1"/>
  <c r="G61" i="3"/>
  <c r="H61" i="3" s="1"/>
  <c r="G66" i="3"/>
  <c r="H66" i="3" s="1"/>
  <c r="G63" i="3"/>
  <c r="H63" i="3" s="1"/>
  <c r="E112" i="3"/>
  <c r="E110" i="3"/>
  <c r="E113" i="3"/>
  <c r="F113" i="3" s="1"/>
  <c r="E111" i="3"/>
  <c r="F111" i="3" s="1"/>
  <c r="E109" i="3"/>
  <c r="F109" i="3" s="1"/>
  <c r="D104" i="3"/>
  <c r="H73" i="5" l="1"/>
  <c r="F116" i="5"/>
  <c r="H72" i="3"/>
  <c r="G76" i="3" s="1"/>
  <c r="H74" i="3"/>
  <c r="F115" i="3"/>
  <c r="F117" i="3"/>
  <c r="H73" i="3" l="1"/>
  <c r="F116" i="3"/>
</calcChain>
</file>

<file path=xl/sharedStrings.xml><?xml version="1.0" encoding="utf-8"?>
<sst xmlns="http://schemas.openxmlformats.org/spreadsheetml/2006/main" count="648" uniqueCount="138">
  <si>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</si>
  <si>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</si>
  <si>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</si>
  <si>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</si>
  <si>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</si>
  <si>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</si>
  <si>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</si>
  <si>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NDQD201508135</t>
  </si>
  <si>
    <t>Weight (mg):</t>
  </si>
  <si>
    <t>Lamivudine and Tenofovir Disoproxil Fumarate</t>
  </si>
  <si>
    <t>Standard Conc (mg/mL):</t>
  </si>
  <si>
    <t>Each film coated  tablet contains Lamivudine USP 300mg and Tenofovir Disoproxil Fumarate 300mg equivalent to Tenofovir Disproxil 245 mg</t>
  </si>
  <si>
    <t>2015-08-13 08:56:41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</si>
  <si>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</si>
  <si>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</si>
  <si>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</si>
  <si>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</si>
  <si>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</si>
  <si>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</si>
  <si>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</si>
  <si>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</si>
  <si>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</si>
  <si>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</si>
  <si>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</si>
  <si>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</si>
  <si>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</si>
  <si>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</si>
  <si>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</si>
  <si>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</si>
  <si>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</si>
  <si>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</si>
  <si>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</si>
  <si>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</si>
  <si>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</si>
  <si>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</si>
  <si>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</si>
  <si>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</si>
  <si>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</si>
  <si>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</si>
  <si>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</si>
  <si>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</si>
  <si>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</si>
  <si>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</si>
  <si>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</si>
  <si>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</si>
  <si>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</si>
  <si>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</si>
  <si>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</si>
  <si>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</si>
  <si>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</si>
  <si>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</si>
  <si>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</si>
  <si>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</si>
  <si>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</si>
  <si>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</si>
  <si>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</si>
  <si>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</si>
  <si>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</si>
  <si>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</si>
  <si>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</si>
  <si>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</si>
  <si>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</si>
  <si>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</si>
  <si>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</si>
  <si>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</si>
  <si>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</si>
  <si>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</si>
  <si>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</si>
  <si>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</si>
  <si>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</si>
  <si>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</si>
  <si>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</si>
  <si>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</si>
  <si>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</si>
  <si>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</si>
  <si>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</si>
  <si>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</si>
  <si>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</si>
  <si>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</si>
  <si>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</si>
  <si>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</si>
  <si>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</si>
  <si>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</si>
  <si>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</si>
  <si>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</si>
  <si>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</si>
  <si>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</si>
  <si>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</si>
  <si>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</si>
  <si>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</si>
  <si>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</si>
  <si>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</si>
  <si>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</si>
  <si>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</si>
  <si>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</si>
  <si>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</si>
  <si>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</si>
  <si>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</si>
  <si>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</si>
  <si>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</si>
  <si>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</si>
  <si>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</si>
  <si>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</si>
  <si>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</si>
  <si>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</si>
  <si>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</si>
  <si>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</si>
  <si>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</si>
  <si>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</si>
  <si>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</si>
  <si>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</si>
  <si>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</si>
  <si>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</si>
  <si>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</si>
  <si>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</si>
  <si>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</si>
  <si>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</si>
  <si>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</si>
  <si>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</si>
  <si>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</si>
  <si>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</si>
  <si>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</si>
  <si>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</si>
  <si>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</si>
  <si>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</si>
  <si>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</t>
  </si>
  <si>
    <t>Bugigi</t>
  </si>
  <si>
    <t>Lamivudine</t>
  </si>
  <si>
    <t>T11 5</t>
  </si>
  <si>
    <t>EFAVIRENZ 600MG TABLETS</t>
  </si>
  <si>
    <t>EFAVIRENZ</t>
  </si>
  <si>
    <t>Each film-coated tablet contains Efavirenz 600mg</t>
  </si>
  <si>
    <t>Efavirenz</t>
  </si>
  <si>
    <t>E15 3</t>
  </si>
  <si>
    <t>NDQD201508095</t>
  </si>
  <si>
    <t>Efavirenz 600mg, Lamivudine 300mg and Tenofovir Disoproxil Fumarate 300mg Tablets</t>
  </si>
  <si>
    <t>Resolution</t>
  </si>
  <si>
    <t>NQCL-WRS-L3-6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</si>
</sst>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0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5" fillId="2" borderId="0" xfId="1" applyNumberFormat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Protection="1"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8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center"/>
    </xf>
    <xf numFmtId="0" fontId="11" fillId="2" borderId="57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4" fontId="11" fillId="2" borderId="7" xfId="0" applyNumberFormat="1" applyFont="1" applyFill="1" applyBorder="1" applyAlignment="1">
      <alignment horizontal="center"/>
    </xf>
    <xf numFmtId="14" fontId="11" fillId="2" borderId="7" xfId="1" applyNumberFormat="1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14" fontId="2" fillId="2" borderId="7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7" fillId="0" borderId="4" xfId="0" applyNumberFormat="1" applyFont="1" applyFill="1" applyBorder="1" applyAlignment="1" applyProtection="1">
      <alignment horizontal="center"/>
      <protection locked="0"/>
    </xf>
    <xf numFmtId="2" fontId="7" fillId="0" borderId="3" xfId="0" applyNumberFormat="1" applyFont="1" applyFill="1" applyBorder="1" applyAlignment="1" applyProtection="1">
      <alignment horizontal="center"/>
      <protection locked="0"/>
    </xf>
    <xf numFmtId="2" fontId="7" fillId="0" borderId="5" xfId="0" applyNumberFormat="1" applyFont="1" applyFill="1" applyBorder="1" applyAlignment="1" applyProtection="1">
      <alignment horizontal="center"/>
      <protection locked="0"/>
    </xf>
    <xf numFmtId="2" fontId="5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13" fillId="3" borderId="0" xfId="0" applyFont="1" applyFill="1" applyAlignment="1" applyProtection="1">
      <alignment horizontal="center" wrapText="1"/>
      <protection locked="0"/>
    </xf>
    <xf numFmtId="173" fontId="7" fillId="3" borderId="4" xfId="0" applyNumberFormat="1" applyFont="1" applyFill="1" applyBorder="1" applyAlignment="1" applyProtection="1">
      <alignment horizontal="center"/>
      <protection locked="0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173" fontId="5" fillId="4" borderId="1" xfId="0" applyNumberFormat="1" applyFont="1" applyFill="1" applyBorder="1" applyAlignment="1">
      <alignment horizontal="center"/>
    </xf>
    <xf numFmtId="173" fontId="2" fillId="2" borderId="0" xfId="1" applyNumberFormat="1" applyFont="1" applyFill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5" zoomScaleNormal="100" zoomScaleSheetLayoutView="100" workbookViewId="0">
      <selection activeCell="B17" sqref="B17:F53"/>
    </sheetView>
  </sheetViews>
  <sheetFormatPr defaultRowHeight="13.5"/>
  <cols>
    <col min="1" max="1" width="27.5703125" style="4" customWidth="1"/>
    <col min="2" max="2" width="34.28515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503" t="s">
        <v>0</v>
      </c>
      <c r="B15" s="503"/>
      <c r="C15" s="503"/>
      <c r="D15" s="503"/>
      <c r="E15" s="503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125</v>
      </c>
      <c r="C18" s="10"/>
      <c r="D18" s="10"/>
      <c r="E18" s="10"/>
    </row>
    <row r="19" spans="1:6" ht="16.5" customHeight="1">
      <c r="A19" s="11" t="s">
        <v>6</v>
      </c>
      <c r="B19" s="12">
        <f>'Tenofovir Disoproxil Fumarate'!B28</f>
        <v>99.2</v>
      </c>
      <c r="C19" s="10"/>
      <c r="D19" s="10"/>
      <c r="E19" s="10"/>
    </row>
    <row r="20" spans="1:6" ht="16.5" customHeight="1">
      <c r="A20" s="7" t="s">
        <v>8</v>
      </c>
      <c r="B20" s="150">
        <f>'Tenofovir Disoproxil Fumarate'!D43</f>
        <v>12.45</v>
      </c>
      <c r="C20" s="10"/>
      <c r="D20" s="10"/>
      <c r="E20" s="10"/>
    </row>
    <row r="21" spans="1:6" ht="16.5" customHeight="1">
      <c r="A21" s="7" t="s">
        <v>10</v>
      </c>
      <c r="B21" s="13">
        <f>B20/'Tenofovir Disoproxil Fumarate'!B45</f>
        <v>4.9799999999999997E-2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136</v>
      </c>
    </row>
    <row r="24" spans="1:6" ht="16.5" customHeight="1">
      <c r="A24" s="17">
        <v>1</v>
      </c>
      <c r="B24" s="18">
        <v>33274735</v>
      </c>
      <c r="C24" s="18">
        <v>94567.2</v>
      </c>
      <c r="D24" s="19">
        <v>1.1000000000000001</v>
      </c>
      <c r="E24" s="20">
        <v>7.9690000000000003</v>
      </c>
      <c r="F24" s="600">
        <v>28.2136</v>
      </c>
    </row>
    <row r="25" spans="1:6" ht="16.5" customHeight="1">
      <c r="A25" s="17">
        <v>2</v>
      </c>
      <c r="B25" s="18">
        <v>33192610</v>
      </c>
      <c r="C25" s="18">
        <v>95216.1</v>
      </c>
      <c r="D25" s="19">
        <v>1</v>
      </c>
      <c r="E25" s="19">
        <v>7.9740000000000002</v>
      </c>
      <c r="F25" s="601">
        <v>28.265370000000001</v>
      </c>
    </row>
    <row r="26" spans="1:6" ht="16.5" customHeight="1">
      <c r="A26" s="17">
        <v>3</v>
      </c>
      <c r="B26" s="18">
        <v>33348917</v>
      </c>
      <c r="C26" s="18">
        <v>95409.4</v>
      </c>
      <c r="D26" s="19">
        <v>1.1000000000000001</v>
      </c>
      <c r="E26" s="19">
        <v>7.9740000000000002</v>
      </c>
      <c r="F26" s="601">
        <v>28.22626</v>
      </c>
    </row>
    <row r="27" spans="1:6" ht="16.5" customHeight="1">
      <c r="A27" s="17">
        <v>4</v>
      </c>
      <c r="B27" s="18">
        <v>33318901</v>
      </c>
      <c r="C27" s="18">
        <v>95184.3</v>
      </c>
      <c r="D27" s="19">
        <v>1.1000000000000001</v>
      </c>
      <c r="E27" s="19">
        <v>7.9740000000000002</v>
      </c>
      <c r="F27" s="601">
        <v>27.768380000000001</v>
      </c>
    </row>
    <row r="28" spans="1:6" ht="16.5" customHeight="1">
      <c r="A28" s="17">
        <v>5</v>
      </c>
      <c r="B28" s="18">
        <v>33353310</v>
      </c>
      <c r="C28" s="18">
        <v>95361.5</v>
      </c>
      <c r="D28" s="19">
        <v>1.1000000000000001</v>
      </c>
      <c r="E28" s="19">
        <v>7.9740000000000002</v>
      </c>
      <c r="F28" s="601">
        <v>28.119420000000002</v>
      </c>
    </row>
    <row r="29" spans="1:6" ht="16.5" customHeight="1">
      <c r="A29" s="17">
        <v>6</v>
      </c>
      <c r="B29" s="21">
        <v>33294673</v>
      </c>
      <c r="C29" s="21">
        <v>96181</v>
      </c>
      <c r="D29" s="22">
        <v>1.1000000000000001</v>
      </c>
      <c r="E29" s="22">
        <v>7.9740000000000002</v>
      </c>
      <c r="F29" s="602">
        <v>27.911020000000001</v>
      </c>
    </row>
    <row r="30" spans="1:6" ht="16.5" customHeight="1">
      <c r="A30" s="23" t="s">
        <v>18</v>
      </c>
      <c r="B30" s="24">
        <f>AVERAGE(B24:B29)</f>
        <v>33297191</v>
      </c>
      <c r="C30" s="25">
        <f>AVERAGE(C24:C29)</f>
        <v>95319.916666666672</v>
      </c>
      <c r="D30" s="26">
        <f>AVERAGE(D24:D29)</f>
        <v>1.0833333333333333</v>
      </c>
      <c r="E30" s="26">
        <f>AVERAGE(E24:E29)</f>
        <v>7.9731666666666667</v>
      </c>
      <c r="F30" s="603">
        <f>AVERAGE(F24:F29)</f>
        <v>28.084008333333333</v>
      </c>
    </row>
    <row r="31" spans="1:6" ht="16.5" customHeight="1">
      <c r="A31" s="27" t="s">
        <v>19</v>
      </c>
      <c r="B31" s="28">
        <f>(STDEV(B24:B29)/B30)</f>
        <v>1.7890961990938022E-3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288" t="str">
        <f>B18</f>
        <v>Tenofovir Disoproxil Fumarate</v>
      </c>
      <c r="C39" s="10"/>
      <c r="D39" s="10"/>
      <c r="E39" s="10"/>
    </row>
    <row r="40" spans="1:6" ht="16.5" customHeight="1">
      <c r="A40" s="11" t="s">
        <v>6</v>
      </c>
      <c r="B40" s="12">
        <f>B19</f>
        <v>99.2</v>
      </c>
      <c r="C40" s="10"/>
      <c r="D40" s="10"/>
      <c r="E40" s="10"/>
    </row>
    <row r="41" spans="1:6" ht="16.5" customHeight="1">
      <c r="A41" s="7" t="s">
        <v>8</v>
      </c>
      <c r="B41" s="12">
        <f>'Tenofovir Disoproxil Fumarate'!D96</f>
        <v>14.09</v>
      </c>
      <c r="C41" s="10"/>
      <c r="D41" s="10"/>
      <c r="E41" s="10"/>
    </row>
    <row r="42" spans="1:6" ht="16.5" customHeight="1">
      <c r="A42" s="7" t="s">
        <v>10</v>
      </c>
      <c r="B42" s="13">
        <f>B41/'Tenofovir Disoproxil Fumarate'!B98</f>
        <v>0.28179999999999999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16" t="s">
        <v>136</v>
      </c>
    </row>
    <row r="45" spans="1:6" ht="16.5" customHeight="1">
      <c r="A45" s="17">
        <v>1</v>
      </c>
      <c r="B45" s="18">
        <v>88520300</v>
      </c>
      <c r="C45" s="18">
        <v>121741.1</v>
      </c>
      <c r="D45" s="19">
        <v>1.1000000000000001</v>
      </c>
      <c r="E45" s="20">
        <v>8</v>
      </c>
      <c r="F45" s="20">
        <v>24.5</v>
      </c>
    </row>
    <row r="46" spans="1:6" ht="16.5" customHeight="1">
      <c r="A46" s="17">
        <v>2</v>
      </c>
      <c r="B46" s="18">
        <v>88828282</v>
      </c>
      <c r="C46" s="18">
        <v>120509.6</v>
      </c>
      <c r="D46" s="19">
        <v>1</v>
      </c>
      <c r="E46" s="19">
        <v>8</v>
      </c>
      <c r="F46" s="19">
        <v>24.3</v>
      </c>
    </row>
    <row r="47" spans="1:6" ht="16.5" customHeight="1">
      <c r="A47" s="17">
        <v>3</v>
      </c>
      <c r="B47" s="18">
        <v>89013134</v>
      </c>
      <c r="C47" s="18">
        <v>120452.2</v>
      </c>
      <c r="D47" s="19">
        <v>1.1000000000000001</v>
      </c>
      <c r="E47" s="19">
        <v>8</v>
      </c>
      <c r="F47" s="19">
        <v>24.2</v>
      </c>
    </row>
    <row r="48" spans="1:6" ht="16.5" customHeight="1">
      <c r="A48" s="17">
        <v>4</v>
      </c>
      <c r="B48" s="18">
        <v>89050331</v>
      </c>
      <c r="C48" s="18">
        <v>119982.3</v>
      </c>
      <c r="D48" s="19">
        <v>1.1000000000000001</v>
      </c>
      <c r="E48" s="19">
        <v>8</v>
      </c>
      <c r="F48" s="19">
        <v>24.1</v>
      </c>
    </row>
    <row r="49" spans="1:7" ht="16.5" customHeight="1">
      <c r="A49" s="17">
        <v>5</v>
      </c>
      <c r="B49" s="18">
        <v>89141753</v>
      </c>
      <c r="C49" s="18">
        <v>120266.8</v>
      </c>
      <c r="D49" s="19">
        <v>1.1000000000000001</v>
      </c>
      <c r="E49" s="19">
        <v>8</v>
      </c>
      <c r="F49" s="19">
        <v>24.1</v>
      </c>
    </row>
    <row r="50" spans="1:7" ht="16.5" customHeight="1">
      <c r="A50" s="17">
        <v>6</v>
      </c>
      <c r="B50" s="21">
        <v>89183669</v>
      </c>
      <c r="C50" s="21">
        <v>119664.5</v>
      </c>
      <c r="D50" s="22">
        <v>1.1000000000000001</v>
      </c>
      <c r="E50" s="22">
        <v>8</v>
      </c>
      <c r="F50" s="22">
        <v>24</v>
      </c>
    </row>
    <row r="51" spans="1:7" ht="16.5" customHeight="1">
      <c r="A51" s="23" t="s">
        <v>18</v>
      </c>
      <c r="B51" s="24">
        <f>AVERAGE(B45:B50)</f>
        <v>88956244.833333328</v>
      </c>
      <c r="C51" s="25">
        <f>AVERAGE(C45:C50)</f>
        <v>120436.08333333333</v>
      </c>
      <c r="D51" s="26">
        <f>AVERAGE(D45:D50)</f>
        <v>1.0833333333333333</v>
      </c>
      <c r="E51" s="26">
        <f>AVERAGE(E45:E50)</f>
        <v>8</v>
      </c>
      <c r="F51" s="26">
        <f>AVERAGE(F45:F50)</f>
        <v>24.2</v>
      </c>
    </row>
    <row r="52" spans="1:7" ht="16.5" customHeight="1">
      <c r="A52" s="27" t="s">
        <v>19</v>
      </c>
      <c r="B52" s="28">
        <f>(STDEV(B45:B50)/B51)</f>
        <v>2.774829458271445E-3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504" t="s">
        <v>26</v>
      </c>
      <c r="C59" s="504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8" t="s">
        <v>126</v>
      </c>
      <c r="C60" s="48"/>
      <c r="E60" s="500">
        <v>42303</v>
      </c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53" sqref="D53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08" t="s">
        <v>31</v>
      </c>
      <c r="B11" s="509"/>
      <c r="C11" s="509"/>
      <c r="D11" s="509"/>
      <c r="E11" s="509"/>
      <c r="F11" s="510"/>
      <c r="G11" s="91"/>
    </row>
    <row r="12" spans="1:7" ht="16.5" customHeight="1">
      <c r="A12" s="507" t="s">
        <v>32</v>
      </c>
      <c r="B12" s="507"/>
      <c r="C12" s="507"/>
      <c r="D12" s="507"/>
      <c r="E12" s="507"/>
      <c r="F12" s="507"/>
      <c r="G12" s="90"/>
    </row>
    <row r="14" spans="1:7" ht="16.5" customHeight="1">
      <c r="A14" s="512" t="s">
        <v>33</v>
      </c>
      <c r="B14" s="512"/>
      <c r="C14" s="60" t="s">
        <v>5</v>
      </c>
    </row>
    <row r="15" spans="1:7" ht="16.5" customHeight="1">
      <c r="A15" s="512" t="s">
        <v>34</v>
      </c>
      <c r="B15" s="512"/>
      <c r="C15" s="60" t="s">
        <v>7</v>
      </c>
    </row>
    <row r="16" spans="1:7" ht="16.5" customHeight="1">
      <c r="A16" s="512" t="s">
        <v>35</v>
      </c>
      <c r="B16" s="512"/>
      <c r="C16" s="60" t="s">
        <v>9</v>
      </c>
    </row>
    <row r="17" spans="1:5" ht="16.5" customHeight="1">
      <c r="A17" s="512" t="s">
        <v>36</v>
      </c>
      <c r="B17" s="512"/>
      <c r="C17" s="60" t="s">
        <v>11</v>
      </c>
    </row>
    <row r="18" spans="1:5" ht="16.5" customHeight="1">
      <c r="A18" s="512" t="s">
        <v>37</v>
      </c>
      <c r="B18" s="512"/>
      <c r="C18" s="97" t="s">
        <v>12</v>
      </c>
    </row>
    <row r="19" spans="1:5" ht="16.5" customHeight="1">
      <c r="A19" s="512" t="s">
        <v>38</v>
      </c>
      <c r="B19" s="512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507" t="s">
        <v>1</v>
      </c>
      <c r="B21" s="507"/>
      <c r="C21" s="59" t="s">
        <v>39</v>
      </c>
      <c r="D21" s="66"/>
    </row>
    <row r="22" spans="1:5" ht="15.75" customHeight="1">
      <c r="A22" s="511"/>
      <c r="B22" s="511"/>
      <c r="C22" s="57"/>
      <c r="D22" s="511"/>
      <c r="E22" s="511"/>
    </row>
    <row r="23" spans="1:5" ht="33.75" customHeight="1">
      <c r="C23" s="86" t="s">
        <v>40</v>
      </c>
      <c r="D23" s="85" t="s">
        <v>41</v>
      </c>
      <c r="E23" s="52"/>
    </row>
    <row r="24" spans="1:5" ht="15.75" customHeight="1">
      <c r="C24" s="95">
        <v>1886.83</v>
      </c>
      <c r="D24" s="87">
        <f t="shared" ref="D24:D43" si="0">(C24-$C$46)/$C$46</f>
        <v>1.2467627019752019E-3</v>
      </c>
      <c r="E24" s="53"/>
    </row>
    <row r="25" spans="1:5" ht="15.75" customHeight="1">
      <c r="C25" s="95">
        <v>1898.58</v>
      </c>
      <c r="D25" s="88">
        <f t="shared" si="0"/>
        <v>7.4819028374130576E-3</v>
      </c>
      <c r="E25" s="53"/>
    </row>
    <row r="26" spans="1:5" ht="15.75" customHeight="1">
      <c r="C26" s="95">
        <v>1854.55</v>
      </c>
      <c r="D26" s="88">
        <f t="shared" si="0"/>
        <v>-1.5882626538189379E-2</v>
      </c>
      <c r="E26" s="53"/>
    </row>
    <row r="27" spans="1:5" ht="15.75" customHeight="1">
      <c r="C27" s="95">
        <v>1902.49</v>
      </c>
      <c r="D27" s="88">
        <f t="shared" si="0"/>
        <v>9.5567452143971027E-3</v>
      </c>
      <c r="E27" s="53"/>
    </row>
    <row r="28" spans="1:5" ht="15.75" customHeight="1">
      <c r="C28" s="95">
        <v>1890.52</v>
      </c>
      <c r="D28" s="88">
        <f t="shared" si="0"/>
        <v>3.2048620296148637E-3</v>
      </c>
      <c r="E28" s="53"/>
    </row>
    <row r="29" spans="1:5" ht="15.75" customHeight="1">
      <c r="C29" s="95">
        <v>1878.82</v>
      </c>
      <c r="D29" s="88">
        <f t="shared" si="0"/>
        <v>-3.0037455946083868E-3</v>
      </c>
      <c r="E29" s="53"/>
    </row>
    <row r="30" spans="1:5" ht="15.75" customHeight="1">
      <c r="C30" s="95">
        <v>1877.71</v>
      </c>
      <c r="D30" s="88">
        <f t="shared" si="0"/>
        <v>-3.5927673435731011E-3</v>
      </c>
      <c r="E30" s="53"/>
    </row>
    <row r="31" spans="1:5" ht="15.75" customHeight="1">
      <c r="C31" s="95">
        <v>1917.7</v>
      </c>
      <c r="D31" s="88">
        <f t="shared" si="0"/>
        <v>1.7627935125887315E-2</v>
      </c>
      <c r="E31" s="53"/>
    </row>
    <row r="32" spans="1:5" ht="15.75" customHeight="1">
      <c r="C32" s="95">
        <v>1868.66</v>
      </c>
      <c r="D32" s="88">
        <f t="shared" si="0"/>
        <v>-8.3951518734209571E-3</v>
      </c>
      <c r="E32" s="53"/>
    </row>
    <row r="33" spans="1:7" ht="15.75" customHeight="1">
      <c r="C33" s="95">
        <v>1876.45</v>
      </c>
      <c r="D33" s="88">
        <f t="shared" si="0"/>
        <v>-4.2613866261817512E-3</v>
      </c>
      <c r="E33" s="53"/>
    </row>
    <row r="34" spans="1:7" ht="15.75" customHeight="1">
      <c r="C34" s="95">
        <v>1913.97</v>
      </c>
      <c r="D34" s="88">
        <f t="shared" si="0"/>
        <v>1.5648609789275968E-2</v>
      </c>
      <c r="E34" s="53"/>
    </row>
    <row r="35" spans="1:7" ht="15.75" customHeight="1">
      <c r="C35" s="95">
        <v>1901.84</v>
      </c>
      <c r="D35" s="88">
        <f t="shared" si="0"/>
        <v>9.2118225686068748E-3</v>
      </c>
      <c r="E35" s="53"/>
    </row>
    <row r="36" spans="1:7" ht="15.75" customHeight="1">
      <c r="C36" s="95">
        <v>1866.13</v>
      </c>
      <c r="D36" s="88">
        <f t="shared" si="0"/>
        <v>-9.7376969408811791E-3</v>
      </c>
      <c r="E36" s="53"/>
    </row>
    <row r="37" spans="1:7" ht="15.75" customHeight="1">
      <c r="C37" s="95">
        <v>1870.79</v>
      </c>
      <c r="D37" s="88">
        <f t="shared" si="0"/>
        <v>-7.2648668956778175E-3</v>
      </c>
      <c r="E37" s="53"/>
    </row>
    <row r="38" spans="1:7" ht="15.75" customHeight="1">
      <c r="C38" s="95">
        <v>1889.74</v>
      </c>
      <c r="D38" s="88">
        <f t="shared" si="0"/>
        <v>2.790954854666663E-3</v>
      </c>
      <c r="E38" s="53"/>
    </row>
    <row r="39" spans="1:7" ht="15.75" customHeight="1">
      <c r="C39" s="95">
        <v>1869.53</v>
      </c>
      <c r="D39" s="88">
        <f t="shared" si="0"/>
        <v>-7.9334861782864672E-3</v>
      </c>
      <c r="E39" s="53"/>
    </row>
    <row r="40" spans="1:7" ht="15.75" customHeight="1">
      <c r="C40" s="95">
        <v>1876.97</v>
      </c>
      <c r="D40" s="88">
        <f t="shared" si="0"/>
        <v>-3.9854485095496177E-3</v>
      </c>
      <c r="E40" s="53"/>
    </row>
    <row r="41" spans="1:7" ht="15.75" customHeight="1">
      <c r="C41" s="95">
        <v>1888.25</v>
      </c>
      <c r="D41" s="88">
        <f t="shared" si="0"/>
        <v>2.0002860204707089E-3</v>
      </c>
      <c r="E41" s="53"/>
    </row>
    <row r="42" spans="1:7" ht="15.75" customHeight="1">
      <c r="C42" s="95">
        <v>1882.39</v>
      </c>
      <c r="D42" s="88">
        <f t="shared" si="0"/>
        <v>-1.109324293883777E-3</v>
      </c>
      <c r="E42" s="53"/>
    </row>
    <row r="43" spans="1:7" ht="16.5" customHeight="1">
      <c r="C43" s="96">
        <v>1877.69</v>
      </c>
      <c r="D43" s="89">
        <f t="shared" si="0"/>
        <v>-3.6033803480589434E-3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42</v>
      </c>
      <c r="C45" s="83">
        <f>SUM(C24:C44)</f>
        <v>37689.610000000008</v>
      </c>
      <c r="D45" s="78"/>
      <c r="E45" s="54"/>
    </row>
    <row r="46" spans="1:7" ht="17.25" customHeight="1">
      <c r="B46" s="82" t="s">
        <v>43</v>
      </c>
      <c r="C46" s="84">
        <f>AVERAGE(C24:C44)</f>
        <v>1884.4805000000003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43</v>
      </c>
      <c r="C48" s="85" t="s">
        <v>44</v>
      </c>
      <c r="D48" s="80"/>
      <c r="G48" s="58"/>
    </row>
    <row r="49" spans="1:6" ht="17.25" customHeight="1">
      <c r="B49" s="505">
        <f>C46</f>
        <v>1884.4805000000003</v>
      </c>
      <c r="C49" s="93">
        <f>-IF(C46&lt;=80,10%,IF(C46&lt;250,7.5%,5%))</f>
        <v>-0.05</v>
      </c>
      <c r="D49" s="81">
        <f>IF(C46&lt;=80,C46*0.9,IF(C46&lt;250,C46*0.925,C46*0.95))</f>
        <v>1790.2564750000001</v>
      </c>
    </row>
    <row r="50" spans="1:6" ht="17.25" customHeight="1">
      <c r="B50" s="506"/>
      <c r="C50" s="94">
        <f>IF(C46&lt;=80, 10%, IF(C46&lt;250, 7.5%, 5%))</f>
        <v>0.05</v>
      </c>
      <c r="D50" s="81">
        <f>IF(C46&lt;=80, C46*1.1, IF(C46&lt;250, C46*1.075, C46*1.05))</f>
        <v>1978.7045250000006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>
      <c r="A53" s="70" t="s">
        <v>29</v>
      </c>
      <c r="B53" s="71" t="s">
        <v>126</v>
      </c>
      <c r="C53" s="72"/>
      <c r="D53" s="501">
        <v>42303</v>
      </c>
      <c r="E53" s="61"/>
      <c r="F53" s="73"/>
    </row>
    <row r="54" spans="1:6" ht="34.5" customHeight="1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activeCell="B20" sqref="B20:C20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41" t="s">
        <v>45</v>
      </c>
      <c r="B1" s="541"/>
      <c r="C1" s="541"/>
      <c r="D1" s="541"/>
      <c r="E1" s="541"/>
      <c r="F1" s="541"/>
      <c r="G1" s="541"/>
      <c r="H1" s="541"/>
      <c r="I1" s="541"/>
    </row>
    <row r="2" spans="1:9" ht="18.75" customHeight="1">
      <c r="A2" s="541"/>
      <c r="B2" s="541"/>
      <c r="C2" s="541"/>
      <c r="D2" s="541"/>
      <c r="E2" s="541"/>
      <c r="F2" s="541"/>
      <c r="G2" s="541"/>
      <c r="H2" s="541"/>
      <c r="I2" s="541"/>
    </row>
    <row r="3" spans="1:9" ht="18.75" customHeight="1">
      <c r="A3" s="541"/>
      <c r="B3" s="541"/>
      <c r="C3" s="541"/>
      <c r="D3" s="541"/>
      <c r="E3" s="541"/>
      <c r="F3" s="541"/>
      <c r="G3" s="541"/>
      <c r="H3" s="541"/>
      <c r="I3" s="541"/>
    </row>
    <row r="4" spans="1:9" ht="18.75" customHeight="1">
      <c r="A4" s="541"/>
      <c r="B4" s="541"/>
      <c r="C4" s="541"/>
      <c r="D4" s="541"/>
      <c r="E4" s="541"/>
      <c r="F4" s="541"/>
      <c r="G4" s="541"/>
      <c r="H4" s="541"/>
      <c r="I4" s="541"/>
    </row>
    <row r="5" spans="1:9" ht="18.75" customHeight="1">
      <c r="A5" s="541"/>
      <c r="B5" s="541"/>
      <c r="C5" s="541"/>
      <c r="D5" s="541"/>
      <c r="E5" s="541"/>
      <c r="F5" s="541"/>
      <c r="G5" s="541"/>
      <c r="H5" s="541"/>
      <c r="I5" s="541"/>
    </row>
    <row r="6" spans="1:9" ht="18.75" customHeight="1">
      <c r="A6" s="541"/>
      <c r="B6" s="541"/>
      <c r="C6" s="541"/>
      <c r="D6" s="541"/>
      <c r="E6" s="541"/>
      <c r="F6" s="541"/>
      <c r="G6" s="541"/>
      <c r="H6" s="541"/>
      <c r="I6" s="541"/>
    </row>
    <row r="7" spans="1:9" ht="18.75" customHeight="1">
      <c r="A7" s="541"/>
      <c r="B7" s="541"/>
      <c r="C7" s="541"/>
      <c r="D7" s="541"/>
      <c r="E7" s="541"/>
      <c r="F7" s="541"/>
      <c r="G7" s="541"/>
      <c r="H7" s="541"/>
      <c r="I7" s="541"/>
    </row>
    <row r="8" spans="1:9">
      <c r="A8" s="542" t="s">
        <v>46</v>
      </c>
      <c r="B8" s="542"/>
      <c r="C8" s="542"/>
      <c r="D8" s="542"/>
      <c r="E8" s="542"/>
      <c r="F8" s="542"/>
      <c r="G8" s="542"/>
      <c r="H8" s="542"/>
      <c r="I8" s="542"/>
    </row>
    <row r="9" spans="1:9">
      <c r="A9" s="542"/>
      <c r="B9" s="542"/>
      <c r="C9" s="542"/>
      <c r="D9" s="542"/>
      <c r="E9" s="542"/>
      <c r="F9" s="542"/>
      <c r="G9" s="542"/>
      <c r="H9" s="542"/>
      <c r="I9" s="542"/>
    </row>
    <row r="10" spans="1:9">
      <c r="A10" s="542"/>
      <c r="B10" s="542"/>
      <c r="C10" s="542"/>
      <c r="D10" s="542"/>
      <c r="E10" s="542"/>
      <c r="F10" s="542"/>
      <c r="G10" s="542"/>
      <c r="H10" s="542"/>
      <c r="I10" s="542"/>
    </row>
    <row r="11" spans="1:9">
      <c r="A11" s="542"/>
      <c r="B11" s="542"/>
      <c r="C11" s="542"/>
      <c r="D11" s="542"/>
      <c r="E11" s="542"/>
      <c r="F11" s="542"/>
      <c r="G11" s="542"/>
      <c r="H11" s="542"/>
      <c r="I11" s="542"/>
    </row>
    <row r="12" spans="1:9">
      <c r="A12" s="542"/>
      <c r="B12" s="542"/>
      <c r="C12" s="542"/>
      <c r="D12" s="542"/>
      <c r="E12" s="542"/>
      <c r="F12" s="542"/>
      <c r="G12" s="542"/>
      <c r="H12" s="542"/>
      <c r="I12" s="542"/>
    </row>
    <row r="13" spans="1:9">
      <c r="A13" s="542"/>
      <c r="B13" s="542"/>
      <c r="C13" s="542"/>
      <c r="D13" s="542"/>
      <c r="E13" s="542"/>
      <c r="F13" s="542"/>
      <c r="G13" s="542"/>
      <c r="H13" s="542"/>
      <c r="I13" s="542"/>
    </row>
    <row r="14" spans="1:9">
      <c r="A14" s="542"/>
      <c r="B14" s="542"/>
      <c r="C14" s="542"/>
      <c r="D14" s="542"/>
      <c r="E14" s="542"/>
      <c r="F14" s="542"/>
      <c r="G14" s="542"/>
      <c r="H14" s="542"/>
      <c r="I14" s="542"/>
    </row>
    <row r="15" spans="1:9" ht="19.5" customHeight="1">
      <c r="A15" s="98"/>
    </row>
    <row r="16" spans="1:9" ht="19.5" customHeight="1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>
      <c r="A18" s="100" t="s">
        <v>33</v>
      </c>
      <c r="B18" s="599" t="s">
        <v>135</v>
      </c>
      <c r="C18" s="599"/>
      <c r="D18" s="599"/>
      <c r="E18" s="599"/>
      <c r="F18" s="102"/>
      <c r="G18" s="102"/>
      <c r="H18" s="102"/>
    </row>
    <row r="19" spans="1:14" ht="26.25" customHeight="1">
      <c r="A19" s="100" t="s">
        <v>34</v>
      </c>
      <c r="B19" s="103" t="s">
        <v>134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35</v>
      </c>
      <c r="B20" s="518" t="s">
        <v>125</v>
      </c>
      <c r="C20" s="518"/>
      <c r="D20" s="102"/>
      <c r="E20" s="102"/>
      <c r="F20" s="102"/>
      <c r="G20" s="102"/>
      <c r="H20" s="102"/>
    </row>
    <row r="21" spans="1:14" ht="26.25" customHeight="1">
      <c r="A21" s="100" t="s">
        <v>36</v>
      </c>
      <c r="B21" s="518" t="s">
        <v>11</v>
      </c>
      <c r="C21" s="518"/>
      <c r="D21" s="518"/>
      <c r="E21" s="518"/>
      <c r="F21" s="518"/>
      <c r="G21" s="518"/>
      <c r="H21" s="518"/>
      <c r="I21" s="104"/>
    </row>
    <row r="22" spans="1:14" ht="26.25" customHeight="1">
      <c r="A22" s="100" t="s">
        <v>37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513" t="s">
        <v>125</v>
      </c>
      <c r="C26" s="513"/>
    </row>
    <row r="27" spans="1:14" ht="26.25" customHeight="1">
      <c r="A27" s="109" t="s">
        <v>48</v>
      </c>
      <c r="B27" s="519" t="s">
        <v>128</v>
      </c>
      <c r="C27" s="519"/>
    </row>
    <row r="28" spans="1:14" ht="27" customHeight="1">
      <c r="A28" s="109" t="s">
        <v>6</v>
      </c>
      <c r="B28" s="110">
        <v>99.2</v>
      </c>
    </row>
    <row r="29" spans="1:14" s="14" customFormat="1" ht="27" customHeight="1">
      <c r="A29" s="109" t="s">
        <v>49</v>
      </c>
      <c r="B29" s="111">
        <v>0</v>
      </c>
      <c r="C29" s="520" t="s">
        <v>50</v>
      </c>
      <c r="D29" s="521"/>
      <c r="E29" s="521"/>
      <c r="F29" s="521"/>
      <c r="G29" s="522"/>
      <c r="I29" s="112"/>
      <c r="J29" s="112"/>
      <c r="K29" s="112"/>
      <c r="L29" s="112"/>
    </row>
    <row r="30" spans="1:14" s="14" customFormat="1" ht="19.5" customHeight="1">
      <c r="A30" s="109" t="s">
        <v>51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52</v>
      </c>
      <c r="B31" s="116">
        <v>1</v>
      </c>
      <c r="C31" s="523" t="s">
        <v>53</v>
      </c>
      <c r="D31" s="524"/>
      <c r="E31" s="524"/>
      <c r="F31" s="524"/>
      <c r="G31" s="524"/>
      <c r="H31" s="525"/>
      <c r="I31" s="112"/>
      <c r="J31" s="112"/>
      <c r="K31" s="112"/>
      <c r="L31" s="112"/>
    </row>
    <row r="32" spans="1:14" s="14" customFormat="1" ht="27" customHeight="1">
      <c r="A32" s="109" t="s">
        <v>54</v>
      </c>
      <c r="B32" s="116">
        <v>1</v>
      </c>
      <c r="C32" s="523" t="s">
        <v>55</v>
      </c>
      <c r="D32" s="524"/>
      <c r="E32" s="524"/>
      <c r="F32" s="524"/>
      <c r="G32" s="524"/>
      <c r="H32" s="525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58</v>
      </c>
      <c r="B36" s="123">
        <v>10</v>
      </c>
      <c r="C36" s="99"/>
      <c r="D36" s="526" t="s">
        <v>59</v>
      </c>
      <c r="E36" s="527"/>
      <c r="F36" s="526" t="s">
        <v>60</v>
      </c>
      <c r="G36" s="528"/>
      <c r="J36" s="112"/>
      <c r="K36" s="112"/>
      <c r="L36" s="117"/>
      <c r="M36" s="117"/>
      <c r="N36" s="118"/>
    </row>
    <row r="37" spans="1:14" s="14" customFormat="1" ht="27" customHeight="1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66</v>
      </c>
      <c r="B38" s="125">
        <v>25</v>
      </c>
      <c r="C38" s="131">
        <v>1</v>
      </c>
      <c r="D38" s="132">
        <v>33034734</v>
      </c>
      <c r="E38" s="133">
        <f>IF(ISBLANK(D38),"-",$D$48/$D$45*D38)</f>
        <v>40121859.211037695</v>
      </c>
      <c r="F38" s="132">
        <v>35718079</v>
      </c>
      <c r="G38" s="134">
        <f>IF(ISBLANK(F38),"-",$D$48/$F$45*F38)</f>
        <v>40792441.115022898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67</v>
      </c>
      <c r="B39" s="125">
        <v>1</v>
      </c>
      <c r="C39" s="136">
        <v>2</v>
      </c>
      <c r="D39" s="137">
        <v>33177260</v>
      </c>
      <c r="E39" s="138">
        <f>IF(ISBLANK(D39),"-",$D$48/$D$45*D39)</f>
        <v>40294962.106490478</v>
      </c>
      <c r="F39" s="137">
        <v>35884349</v>
      </c>
      <c r="G39" s="139">
        <f>IF(ISBLANK(F39),"-",$D$48/$F$45*F39)</f>
        <v>40982332.603425592</v>
      </c>
      <c r="I39" s="530">
        <f>ABS((F43/D43*D42)-F42)/D42</f>
        <v>1.7193688937155237E-2</v>
      </c>
      <c r="J39" s="112"/>
      <c r="K39" s="112"/>
      <c r="L39" s="117"/>
      <c r="M39" s="117"/>
      <c r="N39" s="118"/>
    </row>
    <row r="40" spans="1:14" ht="26.25" customHeight="1">
      <c r="A40" s="124" t="s">
        <v>68</v>
      </c>
      <c r="B40" s="125">
        <v>1</v>
      </c>
      <c r="C40" s="136">
        <v>3</v>
      </c>
      <c r="D40" s="137">
        <v>33202651</v>
      </c>
      <c r="E40" s="138">
        <f>IF(ISBLANK(D40),"-",$D$48/$D$45*D40)</f>
        <v>40325800.378935091</v>
      </c>
      <c r="F40" s="137">
        <v>35829760</v>
      </c>
      <c r="G40" s="139">
        <f>IF(ISBLANK(F40),"-",$D$48/$F$45*F40)</f>
        <v>40919988.305233404</v>
      </c>
      <c r="I40" s="530"/>
      <c r="L40" s="117"/>
      <c r="M40" s="117"/>
      <c r="N40" s="140"/>
    </row>
    <row r="41" spans="1:14" ht="27" customHeight="1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70</v>
      </c>
      <c r="B42" s="125">
        <v>1</v>
      </c>
      <c r="C42" s="146" t="s">
        <v>71</v>
      </c>
      <c r="D42" s="147">
        <f>AVERAGE(D38:D41)</f>
        <v>33138215</v>
      </c>
      <c r="E42" s="148">
        <f>AVERAGE(E38:E41)</f>
        <v>40247540.56548775</v>
      </c>
      <c r="F42" s="147">
        <f>AVERAGE(F38:F41)</f>
        <v>35810729.333333336</v>
      </c>
      <c r="G42" s="149">
        <f>AVERAGE(G38:G41)</f>
        <v>40898254.007893965</v>
      </c>
      <c r="H42" s="150"/>
    </row>
    <row r="43" spans="1:14" ht="26.25" customHeight="1">
      <c r="A43" s="124" t="s">
        <v>72</v>
      </c>
      <c r="B43" s="125">
        <v>1</v>
      </c>
      <c r="C43" s="151" t="s">
        <v>73</v>
      </c>
      <c r="D43" s="152">
        <v>12.45</v>
      </c>
      <c r="E43" s="140"/>
      <c r="F43" s="152">
        <v>13.24</v>
      </c>
      <c r="H43" s="150"/>
    </row>
    <row r="44" spans="1:14" ht="26.25" customHeight="1">
      <c r="A44" s="124" t="s">
        <v>74</v>
      </c>
      <c r="B44" s="125">
        <v>1</v>
      </c>
      <c r="C44" s="153" t="s">
        <v>75</v>
      </c>
      <c r="D44" s="154">
        <f>D43*$B$34</f>
        <v>12.45</v>
      </c>
      <c r="E44" s="155"/>
      <c r="F44" s="154">
        <f>F43*$B$34</f>
        <v>13.24</v>
      </c>
      <c r="H44" s="150"/>
    </row>
    <row r="45" spans="1:14" ht="19.5" customHeight="1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12.3504</v>
      </c>
      <c r="E45" s="158"/>
      <c r="F45" s="157">
        <f>F44*$B$30/100</f>
        <v>13.134080000000001</v>
      </c>
      <c r="H45" s="150"/>
    </row>
    <row r="46" spans="1:14" ht="19.5" customHeight="1">
      <c r="A46" s="531" t="s">
        <v>78</v>
      </c>
      <c r="B46" s="532"/>
      <c r="C46" s="153" t="s">
        <v>79</v>
      </c>
      <c r="D46" s="159">
        <f>D45/$B$45</f>
        <v>4.9401600000000004E-2</v>
      </c>
      <c r="E46" s="160"/>
      <c r="F46" s="161">
        <f>F45/$B$45</f>
        <v>5.2536320000000004E-2</v>
      </c>
      <c r="H46" s="150"/>
    </row>
    <row r="47" spans="1:14" ht="27" customHeight="1">
      <c r="A47" s="533"/>
      <c r="B47" s="534"/>
      <c r="C47" s="162" t="s">
        <v>80</v>
      </c>
      <c r="D47" s="163">
        <v>0.06</v>
      </c>
      <c r="E47" s="164"/>
      <c r="F47" s="160"/>
      <c r="G47" s="2">
        <f>60/100*5/50</f>
        <v>0.06</v>
      </c>
      <c r="H47" s="150"/>
    </row>
    <row r="48" spans="1:14" ht="18.75">
      <c r="C48" s="165" t="s">
        <v>81</v>
      </c>
      <c r="D48" s="157">
        <f>D47*$B$45</f>
        <v>15</v>
      </c>
      <c r="F48" s="166"/>
      <c r="H48" s="150"/>
    </row>
    <row r="49" spans="1:12" ht="19.5" customHeight="1">
      <c r="C49" s="167" t="s">
        <v>82</v>
      </c>
      <c r="D49" s="168">
        <f>D48/B34</f>
        <v>15</v>
      </c>
      <c r="F49" s="166"/>
      <c r="H49" s="150"/>
    </row>
    <row r="50" spans="1:12" ht="18.75">
      <c r="C50" s="122" t="s">
        <v>83</v>
      </c>
      <c r="D50" s="169">
        <f>AVERAGE(E38:E41,G38:G41)</f>
        <v>40572897.286690861</v>
      </c>
      <c r="F50" s="170"/>
      <c r="H50" s="150"/>
    </row>
    <row r="51" spans="1:12" ht="18.75">
      <c r="C51" s="124" t="s">
        <v>84</v>
      </c>
      <c r="D51" s="171">
        <f>STDEV(E38:E41,G38:G41)/D50</f>
        <v>9.0763150102768485E-3</v>
      </c>
      <c r="F51" s="170"/>
      <c r="H51" s="150"/>
    </row>
    <row r="52" spans="1:12" ht="19.5" customHeight="1">
      <c r="C52" s="172" t="s">
        <v>20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85</v>
      </c>
    </row>
    <row r="55" spans="1:12" ht="18.75">
      <c r="A55" s="99" t="s">
        <v>86</v>
      </c>
      <c r="B55" s="176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87</v>
      </c>
      <c r="B56" s="178">
        <v>300</v>
      </c>
      <c r="C56" s="99" t="str">
        <f>B20</f>
        <v>Tenofovir Disoproxil Fumarate</v>
      </c>
      <c r="H56" s="179"/>
    </row>
    <row r="57" spans="1:12" ht="18.75">
      <c r="A57" s="176" t="s">
        <v>88</v>
      </c>
      <c r="B57" s="271">
        <f>Uniformity!C46</f>
        <v>1884.4805000000003</v>
      </c>
      <c r="H57" s="179"/>
    </row>
    <row r="58" spans="1:12" ht="19.5" customHeight="1">
      <c r="H58" s="179"/>
    </row>
    <row r="59" spans="1:12" s="14" customFormat="1" ht="27" customHeight="1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>
      <c r="A60" s="124" t="s">
        <v>93</v>
      </c>
      <c r="B60" s="125">
        <v>5</v>
      </c>
      <c r="C60" s="535" t="s">
        <v>94</v>
      </c>
      <c r="D60" s="538">
        <v>1911.98</v>
      </c>
      <c r="E60" s="182">
        <v>1</v>
      </c>
      <c r="F60" s="183">
        <v>43488170</v>
      </c>
      <c r="G60" s="273">
        <f>IF(ISBLANK(F60),"-",(F60/$D$50*$D$47*$B$68)*($B$57/$D$60))</f>
        <v>316.93096189504365</v>
      </c>
      <c r="H60" s="184">
        <f>IF(ISBLANK(F60),"-",G60/$B$56)</f>
        <v>1.0564365396501456</v>
      </c>
      <c r="L60" s="112"/>
    </row>
    <row r="61" spans="1:12" s="14" customFormat="1" ht="26.25" customHeight="1">
      <c r="A61" s="124" t="s">
        <v>95</v>
      </c>
      <c r="B61" s="125">
        <v>250</v>
      </c>
      <c r="C61" s="536"/>
      <c r="D61" s="539"/>
      <c r="E61" s="185">
        <v>2</v>
      </c>
      <c r="F61" s="137">
        <v>43481437</v>
      </c>
      <c r="G61" s="274">
        <f>IF(ISBLANK(F61),"-",(F61/$D$50*$D$47*$B$68)*($B$57/$D$60))</f>
        <v>316.88189346640115</v>
      </c>
      <c r="H61" s="186">
        <f t="shared" ref="H61:H71" si="0">IF(ISBLANK(F61),"-",G61/$B$56)</f>
        <v>1.0562729782213371</v>
      </c>
      <c r="L61" s="112"/>
    </row>
    <row r="62" spans="1:12" s="14" customFormat="1" ht="26.25" customHeight="1">
      <c r="A62" s="124" t="s">
        <v>96</v>
      </c>
      <c r="B62" s="125">
        <v>1</v>
      </c>
      <c r="C62" s="536"/>
      <c r="D62" s="539"/>
      <c r="E62" s="185">
        <v>3</v>
      </c>
      <c r="F62" s="187">
        <v>42716703</v>
      </c>
      <c r="G62" s="274">
        <f>IF(ISBLANK(F62),"-",(F62/$D$50*$D$47*$B$68)*($B$57/$D$60))</f>
        <v>311.3087023614674</v>
      </c>
      <c r="H62" s="186">
        <f t="shared" si="0"/>
        <v>1.0376956745382246</v>
      </c>
      <c r="L62" s="112"/>
    </row>
    <row r="63" spans="1:12" ht="27" customHeight="1">
      <c r="A63" s="124" t="s">
        <v>97</v>
      </c>
      <c r="B63" s="125">
        <v>1</v>
      </c>
      <c r="C63" s="537"/>
      <c r="D63" s="540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98</v>
      </c>
      <c r="B64" s="125">
        <v>1</v>
      </c>
      <c r="C64" s="535" t="s">
        <v>99</v>
      </c>
      <c r="D64" s="538">
        <v>1890.42</v>
      </c>
      <c r="E64" s="182">
        <v>1</v>
      </c>
      <c r="F64" s="183">
        <v>42118082</v>
      </c>
      <c r="G64" s="275">
        <f>IF(ISBLANK(F64),"-",(F64/$D$50*$D$47*$B$68)*($B$57/$D$64))</f>
        <v>310.44678276937532</v>
      </c>
      <c r="H64" s="190">
        <f>IF(ISBLANK(F64),"-",G64/$B$56)</f>
        <v>1.0348226092312511</v>
      </c>
    </row>
    <row r="65" spans="1:8" ht="26.25" customHeight="1">
      <c r="A65" s="124" t="s">
        <v>100</v>
      </c>
      <c r="B65" s="125">
        <v>1</v>
      </c>
      <c r="C65" s="536"/>
      <c r="D65" s="539"/>
      <c r="E65" s="185">
        <v>2</v>
      </c>
      <c r="F65" s="137">
        <v>42899517</v>
      </c>
      <c r="G65" s="276">
        <f>IF(ISBLANK(F65),"-",(F65/$D$50*$D$47*$B$68)*($B$57/$D$64))</f>
        <v>316.20663626159705</v>
      </c>
      <c r="H65" s="191">
        <f t="shared" si="0"/>
        <v>1.0540221208719902</v>
      </c>
    </row>
    <row r="66" spans="1:8" ht="26.25" customHeight="1">
      <c r="A66" s="124" t="s">
        <v>101</v>
      </c>
      <c r="B66" s="125">
        <v>1</v>
      </c>
      <c r="C66" s="536"/>
      <c r="D66" s="539"/>
      <c r="E66" s="185">
        <v>3</v>
      </c>
      <c r="F66" s="137">
        <v>42824180</v>
      </c>
      <c r="G66" s="276">
        <f>IF(ISBLANK(F66),"-",(F66/$D$50*$D$47*$B$68)*($B$57/$D$64))</f>
        <v>315.65133725074719</v>
      </c>
      <c r="H66" s="191">
        <f t="shared" si="0"/>
        <v>1.0521711241691574</v>
      </c>
    </row>
    <row r="67" spans="1:8" ht="27" customHeight="1">
      <c r="A67" s="124" t="s">
        <v>102</v>
      </c>
      <c r="B67" s="125">
        <v>1</v>
      </c>
      <c r="C67" s="537"/>
      <c r="D67" s="540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103</v>
      </c>
      <c r="B68" s="193">
        <f>(B67/B66)*(B65/B64)*(B63/B62)*(B61/B60)*B59</f>
        <v>5000</v>
      </c>
      <c r="C68" s="535" t="s">
        <v>104</v>
      </c>
      <c r="D68" s="538">
        <v>1913.55</v>
      </c>
      <c r="E68" s="182">
        <v>1</v>
      </c>
      <c r="F68" s="183">
        <v>43014167</v>
      </c>
      <c r="G68" s="275">
        <f>IF(ISBLANK(F68),"-",(F68/$D$50*$D$47*$B$68)*($B$57/$D$68))</f>
        <v>313.21934957304359</v>
      </c>
      <c r="H68" s="186">
        <f>IF(ISBLANK(F68),"-",G68/$B$56)</f>
        <v>1.0440644985768119</v>
      </c>
    </row>
    <row r="69" spans="1:8" ht="27" customHeight="1">
      <c r="A69" s="172" t="s">
        <v>105</v>
      </c>
      <c r="B69" s="194">
        <f>(D47*B68)/B56*B57</f>
        <v>1884.4805000000003</v>
      </c>
      <c r="C69" s="536"/>
      <c r="D69" s="539"/>
      <c r="E69" s="185">
        <v>2</v>
      </c>
      <c r="F69" s="137">
        <v>43819054</v>
      </c>
      <c r="G69" s="276">
        <f>IF(ISBLANK(F69),"-",(F69/$D$50*$D$47*$B$68)*($B$57/$D$68))</f>
        <v>319.08035305637964</v>
      </c>
      <c r="H69" s="186">
        <f t="shared" si="0"/>
        <v>1.0636011768545988</v>
      </c>
    </row>
    <row r="70" spans="1:8" ht="26.25" customHeight="1">
      <c r="A70" s="548" t="s">
        <v>78</v>
      </c>
      <c r="B70" s="549"/>
      <c r="C70" s="536"/>
      <c r="D70" s="539"/>
      <c r="E70" s="185">
        <v>3</v>
      </c>
      <c r="F70" s="137">
        <v>43250054</v>
      </c>
      <c r="G70" s="276">
        <f>IF(ISBLANK(F70),"-",(F70/$D$50*$D$47*$B$68)*($B$57/$D$68))</f>
        <v>314.93702488482484</v>
      </c>
      <c r="H70" s="186">
        <f t="shared" si="0"/>
        <v>1.0497900829494162</v>
      </c>
    </row>
    <row r="71" spans="1:8" ht="27" customHeight="1">
      <c r="A71" s="550"/>
      <c r="B71" s="551"/>
      <c r="C71" s="547"/>
      <c r="D71" s="540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1.049875200562548</v>
      </c>
    </row>
    <row r="73" spans="1:8" ht="26.25" customHeight="1">
      <c r="C73" s="196"/>
      <c r="D73" s="196"/>
      <c r="E73" s="196"/>
      <c r="F73" s="197"/>
      <c r="G73" s="200" t="s">
        <v>84</v>
      </c>
      <c r="H73" s="278">
        <f>STDEV(H60:H71)/H72</f>
        <v>8.9323071716227442E-3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>
      <c r="A76" s="108" t="s">
        <v>106</v>
      </c>
      <c r="B76" s="204" t="s">
        <v>107</v>
      </c>
      <c r="C76" s="543" t="str">
        <f>B20</f>
        <v>Tenofovir Disoproxil Fumarate</v>
      </c>
      <c r="D76" s="543"/>
      <c r="E76" s="205" t="s">
        <v>108</v>
      </c>
      <c r="F76" s="205"/>
      <c r="G76" s="206">
        <f>H72</f>
        <v>1.049875200562548</v>
      </c>
      <c r="H76" s="207"/>
    </row>
    <row r="77" spans="1:8" ht="18.75">
      <c r="A77" s="107" t="s">
        <v>109</v>
      </c>
      <c r="B77" s="107" t="s">
        <v>110</v>
      </c>
    </row>
    <row r="78" spans="1:8" ht="18.75">
      <c r="A78" s="107"/>
      <c r="B78" s="107"/>
    </row>
    <row r="79" spans="1:8" ht="26.25" customHeight="1">
      <c r="A79" s="108" t="s">
        <v>4</v>
      </c>
      <c r="B79" s="529" t="str">
        <f>B26</f>
        <v>Tenofovir Disoproxil Fumarate</v>
      </c>
      <c r="C79" s="529"/>
    </row>
    <row r="80" spans="1:8" ht="26.25" customHeight="1">
      <c r="A80" s="109" t="s">
        <v>48</v>
      </c>
      <c r="B80" s="529" t="str">
        <f>B27</f>
        <v>T11 5</v>
      </c>
      <c r="C80" s="529"/>
    </row>
    <row r="81" spans="1:12" ht="27" customHeight="1">
      <c r="A81" s="109" t="s">
        <v>6</v>
      </c>
      <c r="B81" s="208">
        <f>B28</f>
        <v>99.2</v>
      </c>
    </row>
    <row r="82" spans="1:12" s="14" customFormat="1" ht="27" customHeight="1">
      <c r="A82" s="109" t="s">
        <v>49</v>
      </c>
      <c r="B82" s="111">
        <v>0</v>
      </c>
      <c r="C82" s="520" t="s">
        <v>50</v>
      </c>
      <c r="D82" s="521"/>
      <c r="E82" s="521"/>
      <c r="F82" s="521"/>
      <c r="G82" s="522"/>
      <c r="I82" s="112"/>
      <c r="J82" s="112"/>
      <c r="K82" s="112"/>
      <c r="L82" s="112"/>
    </row>
    <row r="83" spans="1:12" s="14" customFormat="1" ht="19.5" customHeight="1">
      <c r="A83" s="109" t="s">
        <v>51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52</v>
      </c>
      <c r="B84" s="116">
        <v>1</v>
      </c>
      <c r="C84" s="523" t="s">
        <v>111</v>
      </c>
      <c r="D84" s="524"/>
      <c r="E84" s="524"/>
      <c r="F84" s="524"/>
      <c r="G84" s="524"/>
      <c r="H84" s="525"/>
      <c r="I84" s="112"/>
      <c r="J84" s="112"/>
      <c r="K84" s="112"/>
      <c r="L84" s="112"/>
    </row>
    <row r="85" spans="1:12" s="14" customFormat="1" ht="27" customHeight="1">
      <c r="A85" s="109" t="s">
        <v>54</v>
      </c>
      <c r="B85" s="116">
        <v>1</v>
      </c>
      <c r="C85" s="523" t="s">
        <v>112</v>
      </c>
      <c r="D85" s="524"/>
      <c r="E85" s="524"/>
      <c r="F85" s="524"/>
      <c r="G85" s="524"/>
      <c r="H85" s="525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58</v>
      </c>
      <c r="B89" s="123">
        <v>10</v>
      </c>
      <c r="D89" s="209" t="s">
        <v>59</v>
      </c>
      <c r="E89" s="210"/>
      <c r="F89" s="526" t="s">
        <v>60</v>
      </c>
      <c r="G89" s="528"/>
    </row>
    <row r="90" spans="1:12" ht="27" customHeight="1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>
      <c r="A91" s="124" t="s">
        <v>66</v>
      </c>
      <c r="B91" s="125">
        <v>25</v>
      </c>
      <c r="C91" s="213">
        <v>1</v>
      </c>
      <c r="D91" s="132">
        <v>88451526</v>
      </c>
      <c r="E91" s="133">
        <f>IF(ISBLANK(D91),"-",$D$101/$D$98*D91)</f>
        <v>94923539.486938789</v>
      </c>
      <c r="F91" s="132">
        <v>95208023</v>
      </c>
      <c r="G91" s="134">
        <f>IF(ISBLANK(F91),"-",$D$101/$F$98*F91)</f>
        <v>95848032.260749117</v>
      </c>
      <c r="I91" s="135"/>
    </row>
    <row r="92" spans="1:12" ht="26.25" customHeight="1">
      <c r="A92" s="124" t="s">
        <v>67</v>
      </c>
      <c r="B92" s="125">
        <v>1</v>
      </c>
      <c r="C92" s="197">
        <v>2</v>
      </c>
      <c r="D92" s="137">
        <v>88372328</v>
      </c>
      <c r="E92" s="138">
        <f>IF(ISBLANK(D92),"-",$D$101/$D$98*D92)</f>
        <v>94838546.555553004</v>
      </c>
      <c r="F92" s="137">
        <v>95217190</v>
      </c>
      <c r="G92" s="139">
        <f>IF(ISBLANK(F92),"-",$D$101/$F$98*F92)</f>
        <v>95857260.883338362</v>
      </c>
      <c r="I92" s="530">
        <f>ABS((F96/D96*D95)-F95)/D95</f>
        <v>1.0988933581419896E-2</v>
      </c>
    </row>
    <row r="93" spans="1:12" ht="26.25" customHeight="1">
      <c r="A93" s="124" t="s">
        <v>68</v>
      </c>
      <c r="B93" s="125">
        <v>1</v>
      </c>
      <c r="C93" s="197">
        <v>3</v>
      </c>
      <c r="D93" s="137">
        <v>88630162</v>
      </c>
      <c r="E93" s="138">
        <f>IF(ISBLANK(D93),"-",$D$101/$D$98*D93)</f>
        <v>95115246.314018175</v>
      </c>
      <c r="F93" s="137">
        <v>95466955</v>
      </c>
      <c r="G93" s="139">
        <f>IF(ISBLANK(F93),"-",$D$101/$F$98*F93)</f>
        <v>96108704.858575672</v>
      </c>
      <c r="I93" s="530"/>
    </row>
    <row r="94" spans="1:12" ht="27" customHeight="1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>
      <c r="A95" s="124" t="s">
        <v>70</v>
      </c>
      <c r="B95" s="125">
        <v>1</v>
      </c>
      <c r="C95" s="216" t="s">
        <v>71</v>
      </c>
      <c r="D95" s="217">
        <f>AVERAGE(D91:D94)</f>
        <v>88484672</v>
      </c>
      <c r="E95" s="148">
        <f>AVERAGE(E91:E94)</f>
        <v>94959110.785503328</v>
      </c>
      <c r="F95" s="218">
        <f>AVERAGE(F91:F94)</f>
        <v>95297389.333333328</v>
      </c>
      <c r="G95" s="219">
        <f>AVERAGE(G91:G94)</f>
        <v>95937999.33422105</v>
      </c>
    </row>
    <row r="96" spans="1:12" ht="26.25" customHeight="1">
      <c r="A96" s="124" t="s">
        <v>72</v>
      </c>
      <c r="B96" s="110">
        <v>1</v>
      </c>
      <c r="C96" s="220" t="s">
        <v>113</v>
      </c>
      <c r="D96" s="221">
        <v>14.09</v>
      </c>
      <c r="E96" s="140"/>
      <c r="F96" s="152">
        <v>15.02</v>
      </c>
    </row>
    <row r="97" spans="1:10" ht="26.25" customHeight="1">
      <c r="A97" s="124" t="s">
        <v>74</v>
      </c>
      <c r="B97" s="110">
        <v>1</v>
      </c>
      <c r="C97" s="222" t="s">
        <v>114</v>
      </c>
      <c r="D97" s="223">
        <f>D96*$B$87</f>
        <v>14.09</v>
      </c>
      <c r="E97" s="155"/>
      <c r="F97" s="154">
        <f>F96*$B$87</f>
        <v>15.02</v>
      </c>
    </row>
    <row r="98" spans="1:10" ht="19.5" customHeight="1">
      <c r="A98" s="124" t="s">
        <v>76</v>
      </c>
      <c r="B98" s="224">
        <f>(B97/B96)*(B95/B94)*(B93/B92)*(B91/B90)*B89</f>
        <v>50</v>
      </c>
      <c r="C98" s="222" t="s">
        <v>115</v>
      </c>
      <c r="D98" s="225">
        <f>D97*$B$83/100</f>
        <v>13.97728</v>
      </c>
      <c r="E98" s="158"/>
      <c r="F98" s="157">
        <f>F97*$B$83/100</f>
        <v>14.899839999999999</v>
      </c>
    </row>
    <row r="99" spans="1:10" ht="19.5" customHeight="1">
      <c r="A99" s="531" t="s">
        <v>78</v>
      </c>
      <c r="B99" s="545"/>
      <c r="C99" s="222" t="s">
        <v>116</v>
      </c>
      <c r="D99" s="226">
        <f>D98/$B$98</f>
        <v>0.27954560000000001</v>
      </c>
      <c r="E99" s="158"/>
      <c r="F99" s="161">
        <f>F98/$B$98</f>
        <v>0.29799680000000001</v>
      </c>
      <c r="G99" s="227"/>
      <c r="H99" s="150"/>
    </row>
    <row r="100" spans="1:10" ht="19.5" customHeight="1">
      <c r="A100" s="533"/>
      <c r="B100" s="546"/>
      <c r="C100" s="222" t="s">
        <v>80</v>
      </c>
      <c r="D100" s="228">
        <f>$B$56/$B$116</f>
        <v>0.3</v>
      </c>
      <c r="F100" s="166"/>
      <c r="G100" s="229"/>
      <c r="H100" s="150"/>
    </row>
    <row r="101" spans="1:10" ht="18.75">
      <c r="C101" s="222" t="s">
        <v>81</v>
      </c>
      <c r="D101" s="223">
        <f>D100*$B$98</f>
        <v>15</v>
      </c>
      <c r="F101" s="166"/>
      <c r="G101" s="227"/>
      <c r="H101" s="150"/>
    </row>
    <row r="102" spans="1:10" ht="19.5" customHeight="1">
      <c r="C102" s="230" t="s">
        <v>82</v>
      </c>
      <c r="D102" s="231">
        <f>D101/B34</f>
        <v>15</v>
      </c>
      <c r="F102" s="170"/>
      <c r="G102" s="227"/>
      <c r="H102" s="150"/>
      <c r="J102" s="232"/>
    </row>
    <row r="103" spans="1:10" ht="18.75">
      <c r="C103" s="233" t="s">
        <v>117</v>
      </c>
      <c r="D103" s="234">
        <f>AVERAGE(E91:E94,G91:G94)</f>
        <v>95448555.059862196</v>
      </c>
      <c r="F103" s="170"/>
      <c r="G103" s="235"/>
      <c r="H103" s="150"/>
      <c r="J103" s="236"/>
    </row>
    <row r="104" spans="1:10" ht="18.75">
      <c r="C104" s="200" t="s">
        <v>84</v>
      </c>
      <c r="D104" s="237">
        <f>STDEV(E91:E94,G91:G94)/D103</f>
        <v>5.7789417548531922E-3</v>
      </c>
      <c r="F104" s="170"/>
      <c r="G104" s="227"/>
      <c r="H104" s="150"/>
      <c r="J104" s="236"/>
    </row>
    <row r="105" spans="1:10" ht="19.5" customHeight="1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118</v>
      </c>
      <c r="B107" s="123">
        <v>1000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>
      <c r="A108" s="124" t="s">
        <v>122</v>
      </c>
      <c r="B108" s="125">
        <v>1</v>
      </c>
      <c r="C108" s="243">
        <v>1</v>
      </c>
      <c r="D108" s="244">
        <v>103750839</v>
      </c>
      <c r="E108" s="279">
        <f>IF(ISBLANK(D108),"-",D108/$D$103*$D$100*$B$116)</f>
        <v>326.09452998507169</v>
      </c>
      <c r="F108" s="245">
        <f>IF(ISBLANK(D108), "-", E108/$B$56)</f>
        <v>1.0869817666169057</v>
      </c>
    </row>
    <row r="109" spans="1:10" ht="26.25" customHeight="1">
      <c r="A109" s="124" t="s">
        <v>95</v>
      </c>
      <c r="B109" s="125">
        <v>1</v>
      </c>
      <c r="C109" s="243">
        <v>2</v>
      </c>
      <c r="D109" s="244">
        <v>103436967</v>
      </c>
      <c r="E109" s="280">
        <f t="shared" ref="E109:E113" si="1">IF(ISBLANK(D109),"-",D109/$D$103*$D$100*$B$116)</f>
        <v>325.10801321757378</v>
      </c>
      <c r="F109" s="246">
        <f t="shared" ref="F109:F113" si="2">IF(ISBLANK(D109), "-", E109/$B$56)</f>
        <v>1.0836933773919126</v>
      </c>
    </row>
    <row r="110" spans="1:10" ht="26.25" customHeight="1">
      <c r="A110" s="124" t="s">
        <v>96</v>
      </c>
      <c r="B110" s="125">
        <v>1</v>
      </c>
      <c r="C110" s="243">
        <v>3</v>
      </c>
      <c r="D110" s="244">
        <v>103918301</v>
      </c>
      <c r="E110" s="280">
        <f t="shared" si="1"/>
        <v>326.62087215932974</v>
      </c>
      <c r="F110" s="246">
        <f>IF(ISBLANK(D110), "-", E110/$B$56)</f>
        <v>1.0887362405310992</v>
      </c>
    </row>
    <row r="111" spans="1:10" ht="26.25" customHeight="1">
      <c r="A111" s="124" t="s">
        <v>97</v>
      </c>
      <c r="B111" s="125">
        <v>1</v>
      </c>
      <c r="C111" s="243">
        <v>4</v>
      </c>
      <c r="D111" s="244">
        <v>104099635</v>
      </c>
      <c r="E111" s="280">
        <f t="shared" si="1"/>
        <v>327.19081478408589</v>
      </c>
      <c r="F111" s="246">
        <f t="shared" si="2"/>
        <v>1.0906360492802862</v>
      </c>
    </row>
    <row r="112" spans="1:10" ht="26.25" customHeight="1">
      <c r="A112" s="124" t="s">
        <v>98</v>
      </c>
      <c r="B112" s="125">
        <v>1</v>
      </c>
      <c r="C112" s="243">
        <v>5</v>
      </c>
      <c r="D112" s="244">
        <v>103737023</v>
      </c>
      <c r="E112" s="280">
        <f t="shared" si="1"/>
        <v>326.05110554561946</v>
      </c>
      <c r="F112" s="246">
        <f>IF(ISBLANK(D112), "-", E112/$B$56)</f>
        <v>1.0868370184853982</v>
      </c>
    </row>
    <row r="113" spans="1:10" ht="26.25" customHeight="1">
      <c r="A113" s="124" t="s">
        <v>100</v>
      </c>
      <c r="B113" s="125">
        <v>1</v>
      </c>
      <c r="C113" s="247">
        <v>6</v>
      </c>
      <c r="D113" s="248">
        <v>104052859</v>
      </c>
      <c r="E113" s="281">
        <f t="shared" si="1"/>
        <v>327.0437952719393</v>
      </c>
      <c r="F113" s="249">
        <f t="shared" si="2"/>
        <v>1.0901459842397976</v>
      </c>
    </row>
    <row r="114" spans="1:10" ht="26.25" customHeight="1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1.0878384060908999</v>
      </c>
    </row>
    <row r="116" spans="1:10" ht="27" customHeight="1">
      <c r="A116" s="124" t="s">
        <v>103</v>
      </c>
      <c r="B116" s="156">
        <f>(B115/B114)*(B113/B112)*(B111/B110)*(B109/B108)*B107</f>
        <v>1000</v>
      </c>
      <c r="C116" s="254"/>
      <c r="D116" s="255"/>
      <c r="E116" s="216" t="s">
        <v>84</v>
      </c>
      <c r="F116" s="256">
        <f>STDEV(F108:F113)/F115</f>
        <v>2.3571549353998342E-3</v>
      </c>
      <c r="I116" s="98"/>
    </row>
    <row r="117" spans="1:10" ht="27" customHeight="1">
      <c r="A117" s="531" t="s">
        <v>78</v>
      </c>
      <c r="B117" s="532"/>
      <c r="C117" s="257"/>
      <c r="D117" s="258"/>
      <c r="E117" s="259" t="s">
        <v>20</v>
      </c>
      <c r="F117" s="260">
        <f>COUNT(F108:F113)</f>
        <v>6</v>
      </c>
      <c r="I117" s="98"/>
      <c r="J117" s="236"/>
    </row>
    <row r="118" spans="1:10" ht="19.5" customHeight="1">
      <c r="A118" s="533"/>
      <c r="B118" s="534"/>
      <c r="C118" s="98"/>
      <c r="D118" s="98"/>
      <c r="E118" s="98"/>
      <c r="F118" s="197"/>
      <c r="G118" s="98"/>
      <c r="H118" s="98"/>
      <c r="I118" s="98"/>
    </row>
    <row r="119" spans="1:10" ht="18.75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106</v>
      </c>
      <c r="B120" s="204" t="s">
        <v>123</v>
      </c>
      <c r="C120" s="543" t="str">
        <f>B20</f>
        <v>Tenofovir Disoproxil Fumarate</v>
      </c>
      <c r="D120" s="543"/>
      <c r="E120" s="205" t="s">
        <v>124</v>
      </c>
      <c r="F120" s="205"/>
      <c r="G120" s="206">
        <f>F115</f>
        <v>1.0878384060908999</v>
      </c>
      <c r="H120" s="98"/>
      <c r="I120" s="98"/>
    </row>
    <row r="121" spans="1:10" ht="19.5" customHeight="1">
      <c r="A121" s="261"/>
      <c r="B121" s="261"/>
      <c r="C121" s="262"/>
      <c r="D121" s="262"/>
      <c r="E121" s="262"/>
      <c r="F121" s="262"/>
      <c r="G121" s="262"/>
      <c r="H121" s="262"/>
    </row>
    <row r="122" spans="1:10" ht="18.75">
      <c r="B122" s="544" t="s">
        <v>26</v>
      </c>
      <c r="C122" s="544"/>
      <c r="E122" s="211" t="s">
        <v>27</v>
      </c>
      <c r="F122" s="263"/>
      <c r="G122" s="544" t="s">
        <v>28</v>
      </c>
      <c r="H122" s="544"/>
    </row>
    <row r="123" spans="1:10" ht="69.95" customHeight="1">
      <c r="A123" s="264" t="s">
        <v>29</v>
      </c>
      <c r="B123" s="265" t="s">
        <v>126</v>
      </c>
      <c r="C123" s="265"/>
      <c r="E123" s="498">
        <v>42303</v>
      </c>
      <c r="F123" s="98"/>
      <c r="G123" s="266"/>
      <c r="H123" s="266"/>
    </row>
    <row r="124" spans="1:10" ht="69.95" customHeight="1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  <mergeCell ref="B18:E18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5" zoomScaleNormal="100" zoomScaleSheetLayoutView="100" workbookViewId="0">
      <selection activeCell="B17" sqref="B17:E53"/>
    </sheetView>
  </sheetViews>
  <sheetFormatPr defaultRowHeight="13.5"/>
  <cols>
    <col min="1" max="1" width="27.5703125" style="227" customWidth="1"/>
    <col min="2" max="2" width="34.285156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503" t="s">
        <v>0</v>
      </c>
      <c r="B15" s="503"/>
      <c r="C15" s="503"/>
      <c r="D15" s="503"/>
      <c r="E15" s="503"/>
    </row>
    <row r="16" spans="1:6" ht="16.5" customHeight="1">
      <c r="A16" s="90" t="s">
        <v>1</v>
      </c>
      <c r="B16" s="59" t="s">
        <v>2</v>
      </c>
    </row>
    <row r="17" spans="1:6" ht="16.5" customHeight="1">
      <c r="A17" s="8" t="s">
        <v>3</v>
      </c>
      <c r="B17" s="8" t="s">
        <v>5</v>
      </c>
      <c r="D17" s="9"/>
      <c r="E17" s="72"/>
    </row>
    <row r="18" spans="1:6" ht="16.5" customHeight="1">
      <c r="A18" s="75" t="s">
        <v>4</v>
      </c>
      <c r="B18" s="12" t="s">
        <v>127</v>
      </c>
      <c r="C18" s="72"/>
      <c r="D18" s="72"/>
      <c r="E18" s="72"/>
    </row>
    <row r="19" spans="1:6" ht="16.5" customHeight="1">
      <c r="A19" s="75" t="s">
        <v>6</v>
      </c>
      <c r="B19" s="12">
        <f>Lamivudine!B28</f>
        <v>101.74</v>
      </c>
      <c r="C19" s="72"/>
      <c r="D19" s="72"/>
      <c r="E19" s="72"/>
    </row>
    <row r="20" spans="1:6" ht="16.5" customHeight="1">
      <c r="A20" s="8" t="s">
        <v>8</v>
      </c>
      <c r="B20" s="227">
        <f>Lamivudine!D43</f>
        <v>17.68</v>
      </c>
      <c r="C20" s="72"/>
      <c r="D20" s="72"/>
      <c r="E20" s="72"/>
    </row>
    <row r="21" spans="1:6" ht="16.5" customHeight="1">
      <c r="A21" s="8" t="s">
        <v>10</v>
      </c>
      <c r="B21" s="13">
        <f>B20/Lamivudine!B45</f>
        <v>7.0720000000000005E-2</v>
      </c>
      <c r="C21" s="72"/>
      <c r="D21" s="72"/>
      <c r="E21" s="72"/>
    </row>
    <row r="22" spans="1:6" ht="15.75" customHeight="1">
      <c r="A22" s="72"/>
      <c r="B22" s="72"/>
      <c r="C22" s="72"/>
      <c r="D22" s="72"/>
      <c r="E22" s="72"/>
    </row>
    <row r="23" spans="1:6" ht="16.5" customHeight="1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593"/>
    </row>
    <row r="24" spans="1:6" ht="16.5" customHeight="1">
      <c r="A24" s="17">
        <v>1</v>
      </c>
      <c r="B24" s="18">
        <v>64163478</v>
      </c>
      <c r="C24" s="18">
        <v>4310</v>
      </c>
      <c r="D24" s="19">
        <v>0.8</v>
      </c>
      <c r="E24" s="20">
        <v>3.4990000000000001</v>
      </c>
      <c r="F24" s="594"/>
    </row>
    <row r="25" spans="1:6" ht="16.5" customHeight="1">
      <c r="A25" s="17">
        <v>2</v>
      </c>
      <c r="B25" s="18">
        <v>64387027</v>
      </c>
      <c r="C25" s="18">
        <v>4359.7</v>
      </c>
      <c r="D25" s="19">
        <v>0.8</v>
      </c>
      <c r="E25" s="19">
        <v>3.5089999999999999</v>
      </c>
      <c r="F25" s="595"/>
    </row>
    <row r="26" spans="1:6" ht="16.5" customHeight="1">
      <c r="A26" s="17">
        <v>3</v>
      </c>
      <c r="B26" s="18">
        <v>64780244</v>
      </c>
      <c r="C26" s="18">
        <v>4363.6000000000004</v>
      </c>
      <c r="D26" s="19">
        <v>0.8</v>
      </c>
      <c r="E26" s="19">
        <v>3.5139999999999998</v>
      </c>
      <c r="F26" s="595"/>
    </row>
    <row r="27" spans="1:6" ht="16.5" customHeight="1">
      <c r="A27" s="17">
        <v>4</v>
      </c>
      <c r="B27" s="18">
        <v>66156474</v>
      </c>
      <c r="C27" s="18">
        <v>4418.6000000000004</v>
      </c>
      <c r="D27" s="19">
        <v>0.8</v>
      </c>
      <c r="E27" s="19">
        <v>3.5619999999999998</v>
      </c>
      <c r="F27" s="595"/>
    </row>
    <row r="28" spans="1:6" ht="16.5" customHeight="1">
      <c r="A28" s="17">
        <v>5</v>
      </c>
      <c r="B28" s="18">
        <v>65151325</v>
      </c>
      <c r="C28" s="18">
        <v>4341.8</v>
      </c>
      <c r="D28" s="19">
        <v>0.8</v>
      </c>
      <c r="E28" s="19">
        <v>3.5190000000000001</v>
      </c>
      <c r="F28" s="595"/>
    </row>
    <row r="29" spans="1:6" ht="16.5" customHeight="1">
      <c r="A29" s="17">
        <v>6</v>
      </c>
      <c r="B29" s="21">
        <v>65898535</v>
      </c>
      <c r="C29" s="21">
        <v>4384.3</v>
      </c>
      <c r="D29" s="22">
        <v>0.8</v>
      </c>
      <c r="E29" s="22">
        <v>3.548</v>
      </c>
      <c r="F29" s="596"/>
    </row>
    <row r="30" spans="1:6" ht="16.5" customHeight="1">
      <c r="A30" s="23" t="s">
        <v>18</v>
      </c>
      <c r="B30" s="24">
        <f>AVERAGE(B24:B29)</f>
        <v>65089513.833333336</v>
      </c>
      <c r="C30" s="25">
        <f>AVERAGE(C24:C29)</f>
        <v>4363</v>
      </c>
      <c r="D30" s="26">
        <f>AVERAGE(D24:D29)</f>
        <v>0.79999999999999993</v>
      </c>
      <c r="E30" s="26">
        <f>AVERAGE(E24:E29)</f>
        <v>3.5251666666666672</v>
      </c>
      <c r="F30" s="597"/>
    </row>
    <row r="31" spans="1:6" ht="16.5" customHeight="1">
      <c r="A31" s="27" t="s">
        <v>19</v>
      </c>
      <c r="B31" s="28">
        <f>(STDEV(B24:B29)/B30)</f>
        <v>1.2373866288992796E-2</v>
      </c>
      <c r="C31" s="29"/>
      <c r="D31" s="29"/>
      <c r="E31" s="30"/>
      <c r="F31" s="598"/>
    </row>
    <row r="32" spans="1:6" s="227" customFormat="1" ht="16.5" customHeight="1">
      <c r="A32" s="31" t="s">
        <v>20</v>
      </c>
      <c r="B32" s="32">
        <f>COUNT(B24:B29)</f>
        <v>6</v>
      </c>
      <c r="C32" s="33"/>
      <c r="D32" s="73"/>
      <c r="E32" s="35"/>
    </row>
    <row r="33" spans="1:5" s="227" customFormat="1" ht="15.75" customHeight="1">
      <c r="A33" s="72"/>
      <c r="B33" s="72"/>
      <c r="C33" s="72"/>
      <c r="D33" s="72"/>
      <c r="E33" s="72"/>
    </row>
    <row r="34" spans="1:5" s="227" customFormat="1" ht="16.5" customHeight="1">
      <c r="A34" s="75" t="s">
        <v>21</v>
      </c>
      <c r="B34" s="40" t="s">
        <v>22</v>
      </c>
      <c r="C34" s="39"/>
      <c r="D34" s="39"/>
      <c r="E34" s="39"/>
    </row>
    <row r="35" spans="1:5" ht="16.5" customHeight="1">
      <c r="A35" s="75"/>
      <c r="B35" s="40" t="s">
        <v>23</v>
      </c>
      <c r="C35" s="39"/>
      <c r="D35" s="39"/>
      <c r="E35" s="39"/>
    </row>
    <row r="36" spans="1:5" ht="16.5" customHeight="1">
      <c r="A36" s="75"/>
      <c r="B36" s="40" t="s">
        <v>24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25</v>
      </c>
    </row>
    <row r="39" spans="1:5" ht="16.5" customHeight="1">
      <c r="A39" s="75" t="s">
        <v>4</v>
      </c>
      <c r="B39" s="288" t="str">
        <f>B18</f>
        <v>Lamivudine</v>
      </c>
      <c r="C39" s="72"/>
      <c r="D39" s="72"/>
      <c r="E39" s="72"/>
    </row>
    <row r="40" spans="1:5" ht="16.5" customHeight="1">
      <c r="A40" s="75" t="s">
        <v>6</v>
      </c>
      <c r="B40" s="12">
        <f>B19</f>
        <v>101.74</v>
      </c>
      <c r="C40" s="72"/>
      <c r="D40" s="72"/>
      <c r="E40" s="72"/>
    </row>
    <row r="41" spans="1:5" ht="16.5" customHeight="1">
      <c r="A41" s="8" t="s">
        <v>8</v>
      </c>
      <c r="B41" s="12">
        <f>Lamivudine!D96</f>
        <v>13.26</v>
      </c>
      <c r="C41" s="72"/>
      <c r="D41" s="72"/>
      <c r="E41" s="72"/>
    </row>
    <row r="42" spans="1:5" ht="16.5" customHeight="1">
      <c r="A42" s="8" t="s">
        <v>10</v>
      </c>
      <c r="B42" s="13">
        <f>B41/Lamivudine!B98</f>
        <v>0.15911999999999998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>
      <c r="A45" s="17">
        <v>1</v>
      </c>
      <c r="B45" s="18">
        <v>75860844</v>
      </c>
      <c r="C45" s="18">
        <v>2712.9</v>
      </c>
      <c r="D45" s="19">
        <v>0.8</v>
      </c>
      <c r="E45" s="20">
        <v>3.5</v>
      </c>
    </row>
    <row r="46" spans="1:5" ht="16.5" customHeight="1">
      <c r="A46" s="17">
        <v>2</v>
      </c>
      <c r="B46" s="18">
        <v>77946603</v>
      </c>
      <c r="C46" s="18">
        <v>2645.1</v>
      </c>
      <c r="D46" s="19">
        <v>0.8</v>
      </c>
      <c r="E46" s="19">
        <v>3.5</v>
      </c>
    </row>
    <row r="47" spans="1:5" ht="16.5" customHeight="1">
      <c r="A47" s="17">
        <v>3</v>
      </c>
      <c r="B47" s="18">
        <v>78603342</v>
      </c>
      <c r="C47" s="18">
        <v>2644.9</v>
      </c>
      <c r="D47" s="19">
        <v>0.8</v>
      </c>
      <c r="E47" s="19">
        <v>3.5</v>
      </c>
    </row>
    <row r="48" spans="1:5" ht="16.5" customHeight="1">
      <c r="A48" s="17">
        <v>4</v>
      </c>
      <c r="B48" s="18">
        <v>78288868</v>
      </c>
      <c r="C48" s="18">
        <v>2613.8000000000002</v>
      </c>
      <c r="D48" s="19">
        <v>0.8</v>
      </c>
      <c r="E48" s="19">
        <v>3.5</v>
      </c>
    </row>
    <row r="49" spans="1:7" ht="16.5" customHeight="1">
      <c r="A49" s="17">
        <v>5</v>
      </c>
      <c r="B49" s="18">
        <v>78461640</v>
      </c>
      <c r="C49" s="18">
        <v>2630.2</v>
      </c>
      <c r="D49" s="19">
        <v>0.8</v>
      </c>
      <c r="E49" s="19">
        <v>3.5</v>
      </c>
    </row>
    <row r="50" spans="1:7" ht="16.5" customHeight="1">
      <c r="A50" s="17">
        <v>6</v>
      </c>
      <c r="B50" s="21">
        <v>79056622</v>
      </c>
      <c r="C50" s="21">
        <v>2585.6</v>
      </c>
      <c r="D50" s="22">
        <v>0.8</v>
      </c>
      <c r="E50" s="22">
        <v>3.5</v>
      </c>
    </row>
    <row r="51" spans="1:7" ht="16.5" customHeight="1">
      <c r="A51" s="23" t="s">
        <v>18</v>
      </c>
      <c r="B51" s="24">
        <f>AVERAGE(B45:B50)</f>
        <v>78036319.833333328</v>
      </c>
      <c r="C51" s="25">
        <f>AVERAGE(C45:C50)</f>
        <v>2638.7500000000005</v>
      </c>
      <c r="D51" s="26">
        <f>AVERAGE(D45:D50)</f>
        <v>0.79999999999999993</v>
      </c>
      <c r="E51" s="26">
        <f>AVERAGE(E45:E50)</f>
        <v>3.5</v>
      </c>
    </row>
    <row r="52" spans="1:7" ht="16.5" customHeight="1">
      <c r="A52" s="27" t="s">
        <v>19</v>
      </c>
      <c r="B52" s="28">
        <f>(STDEV(B45:B50)/B51)</f>
        <v>1.4438931571097971E-2</v>
      </c>
      <c r="C52" s="29"/>
      <c r="D52" s="29"/>
      <c r="E52" s="30"/>
    </row>
    <row r="53" spans="1:7" s="227" customFormat="1" ht="16.5" customHeight="1">
      <c r="A53" s="31" t="s">
        <v>20</v>
      </c>
      <c r="B53" s="32">
        <f>COUNT(B45:B50)</f>
        <v>6</v>
      </c>
      <c r="C53" s="33"/>
      <c r="D53" s="73"/>
      <c r="E53" s="35"/>
    </row>
    <row r="54" spans="1:7" s="227" customFormat="1" ht="15.75" customHeight="1">
      <c r="A54" s="72"/>
      <c r="B54" s="72"/>
      <c r="C54" s="72"/>
      <c r="D54" s="72"/>
      <c r="E54" s="72"/>
    </row>
    <row r="55" spans="1:7" s="227" customFormat="1" ht="16.5" customHeight="1">
      <c r="A55" s="75" t="s">
        <v>21</v>
      </c>
      <c r="B55" s="40" t="s">
        <v>22</v>
      </c>
      <c r="C55" s="39"/>
      <c r="D55" s="39"/>
      <c r="E55" s="39"/>
    </row>
    <row r="56" spans="1:7" ht="16.5" customHeight="1">
      <c r="A56" s="75"/>
      <c r="B56" s="40" t="s">
        <v>23</v>
      </c>
      <c r="C56" s="39"/>
      <c r="D56" s="39"/>
      <c r="E56" s="39"/>
    </row>
    <row r="57" spans="1:7" ht="16.5" customHeight="1">
      <c r="A57" s="75"/>
      <c r="B57" s="40" t="s">
        <v>24</v>
      </c>
      <c r="C57" s="39"/>
      <c r="D57" s="39"/>
      <c r="E57" s="39"/>
    </row>
    <row r="58" spans="1:7" ht="14.25" customHeight="1" thickBot="1">
      <c r="A58" s="41"/>
      <c r="B58" s="150"/>
      <c r="D58" s="43"/>
      <c r="F58" s="44"/>
      <c r="G58" s="44"/>
    </row>
    <row r="59" spans="1:7" ht="15" customHeight="1">
      <c r="B59" s="504" t="s">
        <v>26</v>
      </c>
      <c r="C59" s="504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9" t="s">
        <v>126</v>
      </c>
      <c r="C60" s="49"/>
      <c r="E60" s="500">
        <v>42303</v>
      </c>
      <c r="G60" s="49"/>
    </row>
    <row r="61" spans="1:7" ht="15" customHeight="1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2" zoomScale="60" zoomScaleNormal="40" zoomScalePageLayoutView="50" workbookViewId="0">
      <selection activeCell="B20" sqref="B20:C20"/>
    </sheetView>
  </sheetViews>
  <sheetFormatPr defaultColWidth="9.140625" defaultRowHeight="13.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>
      <c r="A1" s="541" t="s">
        <v>45</v>
      </c>
      <c r="B1" s="541"/>
      <c r="C1" s="541"/>
      <c r="D1" s="541"/>
      <c r="E1" s="541"/>
      <c r="F1" s="541"/>
      <c r="G1" s="541"/>
      <c r="H1" s="541"/>
      <c r="I1" s="541"/>
    </row>
    <row r="2" spans="1:9" ht="18.75" customHeight="1">
      <c r="A2" s="541"/>
      <c r="B2" s="541"/>
      <c r="C2" s="541"/>
      <c r="D2" s="541"/>
      <c r="E2" s="541"/>
      <c r="F2" s="541"/>
      <c r="G2" s="541"/>
      <c r="H2" s="541"/>
      <c r="I2" s="541"/>
    </row>
    <row r="3" spans="1:9" ht="18.75" customHeight="1">
      <c r="A3" s="541"/>
      <c r="B3" s="541"/>
      <c r="C3" s="541"/>
      <c r="D3" s="541"/>
      <c r="E3" s="541"/>
      <c r="F3" s="541"/>
      <c r="G3" s="541"/>
      <c r="H3" s="541"/>
      <c r="I3" s="541"/>
    </row>
    <row r="4" spans="1:9" ht="18.75" customHeight="1">
      <c r="A4" s="541"/>
      <c r="B4" s="541"/>
      <c r="C4" s="541"/>
      <c r="D4" s="541"/>
      <c r="E4" s="541"/>
      <c r="F4" s="541"/>
      <c r="G4" s="541"/>
      <c r="H4" s="541"/>
      <c r="I4" s="541"/>
    </row>
    <row r="5" spans="1:9" ht="18.75" customHeight="1">
      <c r="A5" s="541"/>
      <c r="B5" s="541"/>
      <c r="C5" s="541"/>
      <c r="D5" s="541"/>
      <c r="E5" s="541"/>
      <c r="F5" s="541"/>
      <c r="G5" s="541"/>
      <c r="H5" s="541"/>
      <c r="I5" s="541"/>
    </row>
    <row r="6" spans="1:9" ht="18.75" customHeight="1">
      <c r="A6" s="541"/>
      <c r="B6" s="541"/>
      <c r="C6" s="541"/>
      <c r="D6" s="541"/>
      <c r="E6" s="541"/>
      <c r="F6" s="541"/>
      <c r="G6" s="541"/>
      <c r="H6" s="541"/>
      <c r="I6" s="541"/>
    </row>
    <row r="7" spans="1:9" ht="18.75" customHeight="1">
      <c r="A7" s="541"/>
      <c r="B7" s="541"/>
      <c r="C7" s="541"/>
      <c r="D7" s="541"/>
      <c r="E7" s="541"/>
      <c r="F7" s="541"/>
      <c r="G7" s="541"/>
      <c r="H7" s="541"/>
      <c r="I7" s="541"/>
    </row>
    <row r="8" spans="1:9">
      <c r="A8" s="542" t="s">
        <v>46</v>
      </c>
      <c r="B8" s="542"/>
      <c r="C8" s="542"/>
      <c r="D8" s="542"/>
      <c r="E8" s="542"/>
      <c r="F8" s="542"/>
      <c r="G8" s="542"/>
      <c r="H8" s="542"/>
      <c r="I8" s="542"/>
    </row>
    <row r="9" spans="1:9">
      <c r="A9" s="542"/>
      <c r="B9" s="542"/>
      <c r="C9" s="542"/>
      <c r="D9" s="542"/>
      <c r="E9" s="542"/>
      <c r="F9" s="542"/>
      <c r="G9" s="542"/>
      <c r="H9" s="542"/>
      <c r="I9" s="542"/>
    </row>
    <row r="10" spans="1:9">
      <c r="A10" s="542"/>
      <c r="B10" s="542"/>
      <c r="C10" s="542"/>
      <c r="D10" s="542"/>
      <c r="E10" s="542"/>
      <c r="F10" s="542"/>
      <c r="G10" s="542"/>
      <c r="H10" s="542"/>
      <c r="I10" s="542"/>
    </row>
    <row r="11" spans="1:9">
      <c r="A11" s="542"/>
      <c r="B11" s="542"/>
      <c r="C11" s="542"/>
      <c r="D11" s="542"/>
      <c r="E11" s="542"/>
      <c r="F11" s="542"/>
      <c r="G11" s="542"/>
      <c r="H11" s="542"/>
      <c r="I11" s="542"/>
    </row>
    <row r="12" spans="1:9">
      <c r="A12" s="542"/>
      <c r="B12" s="542"/>
      <c r="C12" s="542"/>
      <c r="D12" s="542"/>
      <c r="E12" s="542"/>
      <c r="F12" s="542"/>
      <c r="G12" s="542"/>
      <c r="H12" s="542"/>
      <c r="I12" s="542"/>
    </row>
    <row r="13" spans="1:9">
      <c r="A13" s="542"/>
      <c r="B13" s="542"/>
      <c r="C13" s="542"/>
      <c r="D13" s="542"/>
      <c r="E13" s="542"/>
      <c r="F13" s="542"/>
      <c r="G13" s="542"/>
      <c r="H13" s="542"/>
      <c r="I13" s="542"/>
    </row>
    <row r="14" spans="1:9">
      <c r="A14" s="542"/>
      <c r="B14" s="542"/>
      <c r="C14" s="542"/>
      <c r="D14" s="542"/>
      <c r="E14" s="542"/>
      <c r="F14" s="542"/>
      <c r="G14" s="542"/>
      <c r="H14" s="542"/>
      <c r="I14" s="542"/>
    </row>
    <row r="15" spans="1:9" ht="19.5" customHeight="1" thickBot="1">
      <c r="A15" s="205"/>
    </row>
    <row r="16" spans="1:9" ht="19.5" customHeight="1" thickBot="1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>
      <c r="A18" s="100" t="s">
        <v>33</v>
      </c>
      <c r="B18" s="513" t="str">
        <f>'Tenofovir Disoproxil Fumarate'!B18:C18</f>
        <v>Efavirenz 600mg, Lamivudine 300mg and Tenofovir Disoproxil Fumarate 300mg Tablets</v>
      </c>
      <c r="C18" s="513"/>
      <c r="D18" s="270"/>
      <c r="E18" s="101"/>
      <c r="F18" s="102"/>
      <c r="G18" s="102"/>
      <c r="H18" s="102"/>
    </row>
    <row r="19" spans="1:14" ht="26.25" customHeight="1">
      <c r="A19" s="100" t="s">
        <v>34</v>
      </c>
      <c r="B19" s="286" t="s">
        <v>134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35</v>
      </c>
      <c r="B20" s="518" t="s">
        <v>127</v>
      </c>
      <c r="C20" s="518"/>
      <c r="D20" s="102"/>
      <c r="E20" s="102"/>
      <c r="F20" s="102"/>
      <c r="G20" s="102"/>
      <c r="H20" s="102"/>
    </row>
    <row r="21" spans="1:14" ht="26.25" customHeight="1">
      <c r="A21" s="100" t="s">
        <v>36</v>
      </c>
      <c r="B21" s="518" t="s">
        <v>11</v>
      </c>
      <c r="C21" s="518"/>
      <c r="D21" s="518"/>
      <c r="E21" s="518"/>
      <c r="F21" s="518"/>
      <c r="G21" s="518"/>
      <c r="H21" s="518"/>
      <c r="I21" s="104"/>
    </row>
    <row r="22" spans="1:14" ht="26.25" customHeight="1">
      <c r="A22" s="100" t="s">
        <v>37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264" t="s">
        <v>4</v>
      </c>
      <c r="B26" s="513" t="s">
        <v>127</v>
      </c>
      <c r="C26" s="513"/>
    </row>
    <row r="27" spans="1:14" ht="26.25" customHeight="1">
      <c r="A27" s="216" t="s">
        <v>48</v>
      </c>
      <c r="B27" s="519" t="s">
        <v>137</v>
      </c>
      <c r="C27" s="519"/>
    </row>
    <row r="28" spans="1:14" ht="27" customHeight="1" thickBot="1">
      <c r="A28" s="216" t="s">
        <v>6</v>
      </c>
      <c r="B28" s="208">
        <v>101.74</v>
      </c>
    </row>
    <row r="29" spans="1:14" s="16" customFormat="1" ht="27" customHeight="1" thickBot="1">
      <c r="A29" s="216" t="s">
        <v>49</v>
      </c>
      <c r="B29" s="111">
        <v>0</v>
      </c>
      <c r="C29" s="520" t="s">
        <v>50</v>
      </c>
      <c r="D29" s="521"/>
      <c r="E29" s="521"/>
      <c r="F29" s="521"/>
      <c r="G29" s="522"/>
      <c r="I29" s="112"/>
      <c r="J29" s="112"/>
      <c r="K29" s="112"/>
      <c r="L29" s="112"/>
    </row>
    <row r="30" spans="1:14" s="16" customFormat="1" ht="19.5" customHeight="1" thickBot="1">
      <c r="A30" s="216" t="s">
        <v>51</v>
      </c>
      <c r="B30" s="282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>
      <c r="A31" s="216" t="s">
        <v>52</v>
      </c>
      <c r="B31" s="116">
        <v>1</v>
      </c>
      <c r="C31" s="523" t="s">
        <v>53</v>
      </c>
      <c r="D31" s="524"/>
      <c r="E31" s="524"/>
      <c r="F31" s="524"/>
      <c r="G31" s="524"/>
      <c r="H31" s="525"/>
      <c r="I31" s="112"/>
      <c r="J31" s="112"/>
      <c r="K31" s="112"/>
      <c r="L31" s="112"/>
    </row>
    <row r="32" spans="1:14" s="16" customFormat="1" ht="27" customHeight="1" thickBot="1">
      <c r="A32" s="216" t="s">
        <v>54</v>
      </c>
      <c r="B32" s="116">
        <v>1</v>
      </c>
      <c r="C32" s="523" t="s">
        <v>55</v>
      </c>
      <c r="D32" s="524"/>
      <c r="E32" s="524"/>
      <c r="F32" s="524"/>
      <c r="G32" s="524"/>
      <c r="H32" s="525"/>
      <c r="I32" s="112"/>
      <c r="J32" s="112"/>
      <c r="K32" s="112"/>
      <c r="L32" s="117"/>
      <c r="M32" s="117"/>
      <c r="N32" s="118"/>
    </row>
    <row r="33" spans="1:14" s="16" customFormat="1" ht="17.25" customHeight="1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>
      <c r="A34" s="216" t="s">
        <v>56</v>
      </c>
      <c r="B34" s="121">
        <f>B31/B32</f>
        <v>1</v>
      </c>
      <c r="C34" s="205" t="s">
        <v>57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>
      <c r="A36" s="122" t="s">
        <v>58</v>
      </c>
      <c r="B36" s="123">
        <v>10</v>
      </c>
      <c r="C36" s="205"/>
      <c r="D36" s="526" t="s">
        <v>59</v>
      </c>
      <c r="E36" s="527"/>
      <c r="F36" s="526" t="s">
        <v>60</v>
      </c>
      <c r="G36" s="528"/>
      <c r="J36" s="112"/>
      <c r="K36" s="112"/>
      <c r="L36" s="117"/>
      <c r="M36" s="117"/>
      <c r="N36" s="118"/>
    </row>
    <row r="37" spans="1:14" s="16" customFormat="1" ht="27" customHeight="1" thickBot="1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6" customFormat="1" ht="26.25" customHeight="1">
      <c r="A38" s="124" t="s">
        <v>66</v>
      </c>
      <c r="B38" s="125">
        <v>25</v>
      </c>
      <c r="C38" s="131">
        <v>1</v>
      </c>
      <c r="D38" s="132">
        <v>65229936</v>
      </c>
      <c r="E38" s="133">
        <f>IF(ISBLANK(D38),"-",$D$48/$D$45*D38)</f>
        <v>54395655.859537274</v>
      </c>
      <c r="F38" s="132">
        <v>53316350</v>
      </c>
      <c r="G38" s="134">
        <f>IF(ISBLANK(F38),"-",$D$48/$F$45*F38)</f>
        <v>54174202.101897016</v>
      </c>
      <c r="I38" s="135"/>
      <c r="J38" s="112"/>
      <c r="K38" s="112"/>
      <c r="L38" s="117"/>
      <c r="M38" s="117"/>
      <c r="N38" s="118"/>
    </row>
    <row r="39" spans="1:14" s="16" customFormat="1" ht="26.25" customHeight="1">
      <c r="A39" s="124" t="s">
        <v>67</v>
      </c>
      <c r="B39" s="125">
        <v>1</v>
      </c>
      <c r="C39" s="156">
        <v>2</v>
      </c>
      <c r="D39" s="137">
        <v>65969206</v>
      </c>
      <c r="E39" s="138">
        <f>IF(ISBLANK(D39),"-",$D$48/$D$45*D39)</f>
        <v>55012137.784451008</v>
      </c>
      <c r="F39" s="137">
        <v>54158136</v>
      </c>
      <c r="G39" s="139">
        <f>IF(ISBLANK(F39),"-",$D$48/$F$45*F39)</f>
        <v>55029532.312808819</v>
      </c>
      <c r="I39" s="530">
        <f>ABS((F43/D43*D42)-F42)/D42</f>
        <v>1.7762437854430665E-3</v>
      </c>
      <c r="J39" s="112"/>
      <c r="K39" s="112"/>
      <c r="L39" s="117"/>
      <c r="M39" s="117"/>
      <c r="N39" s="118"/>
    </row>
    <row r="40" spans="1:14" ht="26.25" customHeight="1">
      <c r="A40" s="124" t="s">
        <v>68</v>
      </c>
      <c r="B40" s="125">
        <v>1</v>
      </c>
      <c r="C40" s="156">
        <v>3</v>
      </c>
      <c r="D40" s="137">
        <v>66124069</v>
      </c>
      <c r="E40" s="138">
        <f>IF(ISBLANK(D40),"-",$D$48/$D$45*D40)</f>
        <v>55141279.018828057</v>
      </c>
      <c r="F40" s="137">
        <v>54118447</v>
      </c>
      <c r="G40" s="139">
        <f>IF(ISBLANK(F40),"-",$D$48/$F$45*F40)</f>
        <v>54989204.722731441</v>
      </c>
      <c r="I40" s="530"/>
      <c r="L40" s="117"/>
      <c r="M40" s="117"/>
      <c r="N40" s="205"/>
    </row>
    <row r="41" spans="1:14" ht="27" customHeight="1" thickBot="1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>
      <c r="A42" s="124" t="s">
        <v>70</v>
      </c>
      <c r="B42" s="125">
        <v>1</v>
      </c>
      <c r="C42" s="146" t="s">
        <v>71</v>
      </c>
      <c r="D42" s="147">
        <f>AVERAGE(D38:D41)</f>
        <v>65774403.666666664</v>
      </c>
      <c r="E42" s="148">
        <f>AVERAGE(E38:E41)</f>
        <v>54849690.887605451</v>
      </c>
      <c r="F42" s="147">
        <f>AVERAGE(F38:F41)</f>
        <v>53864311</v>
      </c>
      <c r="G42" s="149">
        <f>AVERAGE(G38:G41)</f>
        <v>54730979.712479092</v>
      </c>
      <c r="H42" s="150"/>
    </row>
    <row r="43" spans="1:14" ht="26.25" customHeight="1">
      <c r="A43" s="124" t="s">
        <v>72</v>
      </c>
      <c r="B43" s="125">
        <v>1</v>
      </c>
      <c r="C43" s="151" t="s">
        <v>73</v>
      </c>
      <c r="D43" s="152">
        <v>17.68</v>
      </c>
      <c r="E43" s="205"/>
      <c r="F43" s="152">
        <v>14.51</v>
      </c>
      <c r="H43" s="150"/>
    </row>
    <row r="44" spans="1:14" ht="26.25" customHeight="1">
      <c r="A44" s="124" t="s">
        <v>74</v>
      </c>
      <c r="B44" s="125">
        <v>1</v>
      </c>
      <c r="C44" s="153" t="s">
        <v>75</v>
      </c>
      <c r="D44" s="154">
        <f>D43*$B$34</f>
        <v>17.68</v>
      </c>
      <c r="E44" s="224"/>
      <c r="F44" s="154">
        <f>F43*$B$34</f>
        <v>14.51</v>
      </c>
      <c r="H44" s="150"/>
    </row>
    <row r="45" spans="1:14" ht="19.5" customHeight="1" thickBot="1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17.987631999999998</v>
      </c>
      <c r="E45" s="201"/>
      <c r="F45" s="157">
        <f>F44*$B$30/100</f>
        <v>14.762473999999999</v>
      </c>
      <c r="H45" s="150"/>
    </row>
    <row r="46" spans="1:14" ht="19.5" customHeight="1" thickBot="1">
      <c r="A46" s="531" t="s">
        <v>78</v>
      </c>
      <c r="B46" s="532"/>
      <c r="C46" s="153" t="s">
        <v>79</v>
      </c>
      <c r="D46" s="159">
        <f>D45/$B$45</f>
        <v>7.1950527999999986E-2</v>
      </c>
      <c r="E46" s="160"/>
      <c r="F46" s="161">
        <f>F45/$B$45</f>
        <v>5.9049895999999998E-2</v>
      </c>
      <c r="H46" s="150"/>
    </row>
    <row r="47" spans="1:14" ht="27" customHeight="1" thickBot="1">
      <c r="A47" s="533"/>
      <c r="B47" s="534"/>
      <c r="C47" s="162" t="s">
        <v>80</v>
      </c>
      <c r="D47" s="163">
        <v>0.06</v>
      </c>
      <c r="E47" s="164"/>
      <c r="F47" s="160"/>
      <c r="H47" s="150"/>
    </row>
    <row r="48" spans="1:14" ht="18.75">
      <c r="C48" s="165" t="s">
        <v>81</v>
      </c>
      <c r="D48" s="157">
        <f>D47*$B$45</f>
        <v>15</v>
      </c>
      <c r="F48" s="166"/>
      <c r="H48" s="150"/>
    </row>
    <row r="49" spans="1:12" ht="19.5" customHeight="1" thickBot="1">
      <c r="C49" s="167" t="s">
        <v>82</v>
      </c>
      <c r="D49" s="168">
        <f>D48/B34</f>
        <v>15</v>
      </c>
      <c r="F49" s="166"/>
      <c r="H49" s="150"/>
    </row>
    <row r="50" spans="1:12" ht="18.75">
      <c r="C50" s="122" t="s">
        <v>83</v>
      </c>
      <c r="D50" s="169">
        <f>AVERAGE(E38:E41,G38:G41)</f>
        <v>54790335.300042272</v>
      </c>
      <c r="F50" s="170"/>
      <c r="H50" s="150"/>
    </row>
    <row r="51" spans="1:12" ht="18.75">
      <c r="C51" s="124" t="s">
        <v>84</v>
      </c>
      <c r="D51" s="171">
        <f>STDEV(E38:E41,G38:G41)/D50</f>
        <v>7.3211256784873934E-3</v>
      </c>
      <c r="F51" s="170"/>
      <c r="H51" s="150"/>
    </row>
    <row r="52" spans="1:12" ht="19.5" customHeight="1" thickBot="1">
      <c r="C52" s="172" t="s">
        <v>20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85</v>
      </c>
    </row>
    <row r="55" spans="1:12" ht="18.75">
      <c r="A55" s="205" t="s">
        <v>86</v>
      </c>
      <c r="B55" s="177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87</v>
      </c>
      <c r="B56" s="178">
        <v>300</v>
      </c>
      <c r="C56" s="205" t="str">
        <f>B20</f>
        <v>Lamivudine</v>
      </c>
      <c r="H56" s="224"/>
    </row>
    <row r="57" spans="1:12" ht="18.75">
      <c r="A57" s="177" t="s">
        <v>88</v>
      </c>
      <c r="B57" s="271">
        <f>Uniformity!C46</f>
        <v>1884.4805000000003</v>
      </c>
      <c r="H57" s="224"/>
    </row>
    <row r="58" spans="1:12" ht="19.5" customHeight="1" thickBot="1">
      <c r="H58" s="224"/>
    </row>
    <row r="59" spans="1:12" s="16" customFormat="1" ht="27" customHeight="1" thickBot="1">
      <c r="A59" s="122" t="s">
        <v>89</v>
      </c>
      <c r="B59" s="123">
        <v>100</v>
      </c>
      <c r="C59" s="205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6" customFormat="1" ht="26.25" customHeight="1">
      <c r="A60" s="124" t="s">
        <v>93</v>
      </c>
      <c r="B60" s="125">
        <v>5</v>
      </c>
      <c r="C60" s="535" t="s">
        <v>94</v>
      </c>
      <c r="D60" s="538">
        <f>'Tenofovir Disoproxil Fumarate'!D60:D63</f>
        <v>1911.98</v>
      </c>
      <c r="E60" s="182">
        <v>1</v>
      </c>
      <c r="F60" s="183">
        <v>60936660</v>
      </c>
      <c r="G60" s="273">
        <f>IF(ISBLANK(F60),"-",(F60/$D$50*$D$47*$B$68)*($B$57/$D$60))</f>
        <v>328.85484579502088</v>
      </c>
      <c r="H60" s="184">
        <f>IF(ISBLANK(F60),"-",G60/$B$56)</f>
        <v>1.0961828193167362</v>
      </c>
      <c r="L60" s="112"/>
    </row>
    <row r="61" spans="1:12" s="16" customFormat="1" ht="26.25" customHeight="1">
      <c r="A61" s="124" t="s">
        <v>95</v>
      </c>
      <c r="B61" s="125">
        <v>250</v>
      </c>
      <c r="C61" s="536"/>
      <c r="D61" s="539"/>
      <c r="E61" s="185">
        <v>2</v>
      </c>
      <c r="F61" s="137">
        <v>60902530</v>
      </c>
      <c r="G61" s="274">
        <f>IF(ISBLANK(F61),"-",(F61/$D$50*$D$47*$B$68)*($B$57/$D$60))</f>
        <v>328.67065755944998</v>
      </c>
      <c r="H61" s="186">
        <f t="shared" ref="H61:H71" si="0">IF(ISBLANK(F61),"-",G61/$B$56)</f>
        <v>1.0955688585315</v>
      </c>
      <c r="L61" s="112"/>
    </row>
    <row r="62" spans="1:12" s="16" customFormat="1" ht="26.25" customHeight="1">
      <c r="A62" s="124" t="s">
        <v>96</v>
      </c>
      <c r="B62" s="125">
        <v>1</v>
      </c>
      <c r="C62" s="536"/>
      <c r="D62" s="539"/>
      <c r="E62" s="185">
        <v>3</v>
      </c>
      <c r="F62" s="187">
        <v>59853420</v>
      </c>
      <c r="G62" s="274">
        <f>IF(ISBLANK(F62),"-",(F62/$D$50*$D$47*$B$68)*($B$57/$D$60))</f>
        <v>323.00896052400344</v>
      </c>
      <c r="H62" s="186">
        <f t="shared" si="0"/>
        <v>1.0766965350800115</v>
      </c>
      <c r="L62" s="112"/>
    </row>
    <row r="63" spans="1:12" ht="27" customHeight="1" thickBot="1">
      <c r="A63" s="124" t="s">
        <v>97</v>
      </c>
      <c r="B63" s="125">
        <v>1</v>
      </c>
      <c r="C63" s="537"/>
      <c r="D63" s="540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98</v>
      </c>
      <c r="B64" s="125">
        <v>1</v>
      </c>
      <c r="C64" s="535" t="s">
        <v>99</v>
      </c>
      <c r="D64" s="538">
        <f>'Tenofovir Disoproxil Fumarate'!D64:D67</f>
        <v>1890.42</v>
      </c>
      <c r="E64" s="182">
        <v>1</v>
      </c>
      <c r="F64" s="183">
        <v>60258378</v>
      </c>
      <c r="G64" s="275">
        <f>IF(ISBLANK(F64),"-",(F64/$D$50*$D$47*$B$68)*($B$57/$D$64))</f>
        <v>328.90318453627168</v>
      </c>
      <c r="H64" s="190">
        <f>IF(ISBLANK(F64),"-",G64/$B$56)</f>
        <v>1.096343948454239</v>
      </c>
    </row>
    <row r="65" spans="1:8" ht="26.25" customHeight="1">
      <c r="A65" s="124" t="s">
        <v>100</v>
      </c>
      <c r="B65" s="125">
        <v>1</v>
      </c>
      <c r="C65" s="536"/>
      <c r="D65" s="539"/>
      <c r="E65" s="185">
        <v>2</v>
      </c>
      <c r="F65" s="137">
        <v>61397826</v>
      </c>
      <c r="G65" s="276">
        <f>IF(ISBLANK(F65),"-",(F65/$D$50*$D$47*$B$68)*($B$57/$D$64))</f>
        <v>335.12253673678208</v>
      </c>
      <c r="H65" s="191">
        <f t="shared" si="0"/>
        <v>1.1170751224559403</v>
      </c>
    </row>
    <row r="66" spans="1:8" ht="26.25" customHeight="1">
      <c r="A66" s="124" t="s">
        <v>101</v>
      </c>
      <c r="B66" s="125">
        <v>1</v>
      </c>
      <c r="C66" s="536"/>
      <c r="D66" s="539"/>
      <c r="E66" s="185">
        <v>3</v>
      </c>
      <c r="F66" s="137">
        <v>61310444</v>
      </c>
      <c r="G66" s="276">
        <f>IF(ISBLANK(F66),"-",(F66/$D$50*$D$47*$B$68)*($B$57/$D$64))</f>
        <v>334.6455869909534</v>
      </c>
      <c r="H66" s="191">
        <f t="shared" si="0"/>
        <v>1.1154852899698446</v>
      </c>
    </row>
    <row r="67" spans="1:8" ht="27" customHeight="1" thickBot="1">
      <c r="A67" s="124" t="s">
        <v>102</v>
      </c>
      <c r="B67" s="125">
        <v>1</v>
      </c>
      <c r="C67" s="537"/>
      <c r="D67" s="540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103</v>
      </c>
      <c r="B68" s="193">
        <f>(B67/B66)*(B65/B64)*(B63/B62)*(B61/B60)*B59</f>
        <v>5000</v>
      </c>
      <c r="C68" s="535" t="s">
        <v>104</v>
      </c>
      <c r="D68" s="538">
        <f>'Tenofovir Disoproxil Fumarate'!D68:D71</f>
        <v>1913.55</v>
      </c>
      <c r="E68" s="182">
        <v>1</v>
      </c>
      <c r="F68" s="183"/>
      <c r="G68" s="275" t="str">
        <f>IF(ISBLANK(F68),"-",(F68/$D$50*$D$47*$B$68)*($B$57/$D$68))</f>
        <v>-</v>
      </c>
      <c r="H68" s="186" t="str">
        <f>IF(ISBLANK(F68),"-",G68/$B$56)</f>
        <v>-</v>
      </c>
    </row>
    <row r="69" spans="1:8" ht="27" customHeight="1" thickBot="1">
      <c r="A69" s="172" t="s">
        <v>105</v>
      </c>
      <c r="B69" s="194">
        <f>(D47*B68)/B56*B57</f>
        <v>1884.4805000000003</v>
      </c>
      <c r="C69" s="536"/>
      <c r="D69" s="539"/>
      <c r="E69" s="185">
        <v>2</v>
      </c>
      <c r="F69" s="137"/>
      <c r="G69" s="276" t="str">
        <f>IF(ISBLANK(F69),"-",(F69/$D$50*$D$47*$B$68)*($B$57/$D$68))</f>
        <v>-</v>
      </c>
      <c r="H69" s="186" t="str">
        <f t="shared" si="0"/>
        <v>-</v>
      </c>
    </row>
    <row r="70" spans="1:8" ht="26.25" customHeight="1">
      <c r="A70" s="548" t="s">
        <v>78</v>
      </c>
      <c r="B70" s="549"/>
      <c r="C70" s="536"/>
      <c r="D70" s="539"/>
      <c r="E70" s="185">
        <v>3</v>
      </c>
      <c r="F70" s="137"/>
      <c r="G70" s="276" t="str">
        <f>IF(ISBLANK(F70),"-",(F70/$D$50*$D$47*$B$68)*($B$57/$D$68))</f>
        <v>-</v>
      </c>
      <c r="H70" s="186" t="str">
        <f t="shared" si="0"/>
        <v>-</v>
      </c>
    </row>
    <row r="71" spans="1:8" ht="27" customHeight="1" thickBot="1">
      <c r="A71" s="550"/>
      <c r="B71" s="551"/>
      <c r="C71" s="547"/>
      <c r="D71" s="540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224"/>
      <c r="B72" s="224"/>
      <c r="C72" s="224"/>
      <c r="D72" s="224"/>
      <c r="E72" s="224"/>
      <c r="F72" s="224"/>
      <c r="G72" s="198" t="s">
        <v>71</v>
      </c>
      <c r="H72" s="199">
        <f>AVERAGE(H60:H71)</f>
        <v>1.0995587623013785</v>
      </c>
    </row>
    <row r="73" spans="1:8" ht="26.25" customHeight="1">
      <c r="C73" s="224"/>
      <c r="D73" s="224"/>
      <c r="E73" s="224"/>
      <c r="F73" s="224"/>
      <c r="G73" s="200" t="s">
        <v>84</v>
      </c>
      <c r="H73" s="278">
        <f>STDEV(H60:H71)/H72</f>
        <v>1.3616407536132483E-2</v>
      </c>
    </row>
    <row r="74" spans="1:8" ht="27" customHeight="1" thickBot="1">
      <c r="A74" s="224"/>
      <c r="B74" s="224"/>
      <c r="C74" s="224"/>
      <c r="D74" s="224"/>
      <c r="E74" s="201"/>
      <c r="F74" s="224"/>
      <c r="G74" s="202" t="s">
        <v>20</v>
      </c>
      <c r="H74" s="203">
        <f>COUNT(H60:H71)</f>
        <v>6</v>
      </c>
    </row>
    <row r="76" spans="1:8" ht="26.25" customHeight="1">
      <c r="A76" s="264" t="s">
        <v>106</v>
      </c>
      <c r="B76" s="216" t="s">
        <v>107</v>
      </c>
      <c r="C76" s="543" t="str">
        <f>B20</f>
        <v>Lamivudine</v>
      </c>
      <c r="D76" s="543"/>
      <c r="E76" s="205" t="s">
        <v>108</v>
      </c>
      <c r="F76" s="205"/>
      <c r="G76" s="206">
        <f>H72</f>
        <v>1.0995587623013785</v>
      </c>
      <c r="H76" s="282"/>
    </row>
    <row r="77" spans="1:8" ht="18.75">
      <c r="A77" s="107" t="s">
        <v>109</v>
      </c>
      <c r="B77" s="107" t="s">
        <v>110</v>
      </c>
    </row>
    <row r="78" spans="1:8" ht="18.75">
      <c r="A78" s="107"/>
      <c r="B78" s="107"/>
    </row>
    <row r="79" spans="1:8" ht="26.25" customHeight="1">
      <c r="A79" s="264" t="s">
        <v>4</v>
      </c>
      <c r="B79" s="529" t="str">
        <f>B26</f>
        <v>Lamivudine</v>
      </c>
      <c r="C79" s="529"/>
    </row>
    <row r="80" spans="1:8" ht="26.25" customHeight="1">
      <c r="A80" s="216" t="s">
        <v>48</v>
      </c>
      <c r="B80" s="529" t="str">
        <f>B27</f>
        <v>NQCL-WRS-L3-6</v>
      </c>
      <c r="C80" s="529"/>
    </row>
    <row r="81" spans="1:12" ht="27" customHeight="1" thickBot="1">
      <c r="A81" s="216" t="s">
        <v>6</v>
      </c>
      <c r="B81" s="208">
        <f>B28</f>
        <v>101.74</v>
      </c>
    </row>
    <row r="82" spans="1:12" s="16" customFormat="1" ht="27" customHeight="1" thickBot="1">
      <c r="A82" s="216" t="s">
        <v>49</v>
      </c>
      <c r="B82" s="111">
        <v>0</v>
      </c>
      <c r="C82" s="520" t="s">
        <v>50</v>
      </c>
      <c r="D82" s="521"/>
      <c r="E82" s="521"/>
      <c r="F82" s="521"/>
      <c r="G82" s="522"/>
      <c r="I82" s="112"/>
      <c r="J82" s="112"/>
      <c r="K82" s="112"/>
      <c r="L82" s="112"/>
    </row>
    <row r="83" spans="1:12" s="16" customFormat="1" ht="19.5" customHeight="1" thickBot="1">
      <c r="A83" s="216" t="s">
        <v>51</v>
      </c>
      <c r="B83" s="282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>
      <c r="A84" s="216" t="s">
        <v>52</v>
      </c>
      <c r="B84" s="116">
        <v>1</v>
      </c>
      <c r="C84" s="523" t="s">
        <v>111</v>
      </c>
      <c r="D84" s="524"/>
      <c r="E84" s="524"/>
      <c r="F84" s="524"/>
      <c r="G84" s="524"/>
      <c r="H84" s="525"/>
      <c r="I84" s="112"/>
      <c r="J84" s="112"/>
      <c r="K84" s="112"/>
      <c r="L84" s="112"/>
    </row>
    <row r="85" spans="1:12" s="16" customFormat="1" ht="27" customHeight="1" thickBot="1">
      <c r="A85" s="216" t="s">
        <v>54</v>
      </c>
      <c r="B85" s="116">
        <v>1</v>
      </c>
      <c r="C85" s="523" t="s">
        <v>112</v>
      </c>
      <c r="D85" s="524"/>
      <c r="E85" s="524"/>
      <c r="F85" s="524"/>
      <c r="G85" s="524"/>
      <c r="H85" s="525"/>
      <c r="I85" s="112"/>
      <c r="J85" s="112"/>
      <c r="K85" s="112"/>
      <c r="L85" s="112"/>
    </row>
    <row r="86" spans="1:12" s="16" customFormat="1" ht="18.7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>
      <c r="A87" s="216" t="s">
        <v>56</v>
      </c>
      <c r="B87" s="121">
        <f>B84/B85</f>
        <v>1</v>
      </c>
      <c r="C87" s="205" t="s">
        <v>57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>
      <c r="A88" s="107"/>
      <c r="B88" s="107"/>
    </row>
    <row r="89" spans="1:12" ht="27" customHeight="1" thickBot="1">
      <c r="A89" s="122" t="s">
        <v>58</v>
      </c>
      <c r="B89" s="123">
        <v>10</v>
      </c>
      <c r="D89" s="284" t="s">
        <v>59</v>
      </c>
      <c r="E89" s="287"/>
      <c r="F89" s="526" t="s">
        <v>60</v>
      </c>
      <c r="G89" s="528"/>
    </row>
    <row r="90" spans="1:12" ht="27" customHeight="1" thickBot="1">
      <c r="A90" s="124" t="s">
        <v>61</v>
      </c>
      <c r="B90" s="125">
        <v>3</v>
      </c>
      <c r="C90" s="283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>
      <c r="A91" s="124" t="s">
        <v>66</v>
      </c>
      <c r="B91" s="125">
        <v>25</v>
      </c>
      <c r="C91" s="213">
        <v>1</v>
      </c>
      <c r="D91" s="132">
        <v>78077279</v>
      </c>
      <c r="E91" s="133">
        <f>IF(ISBLANK(D91),"-",$D$101/$D$98*D91)</f>
        <v>144686969.728237</v>
      </c>
      <c r="F91" s="132">
        <v>94094817</v>
      </c>
      <c r="G91" s="134">
        <f>IF(ISBLANK(F91),"-",$D$101/$F$98*F91)</f>
        <v>144328289.81710747</v>
      </c>
      <c r="I91" s="135"/>
    </row>
    <row r="92" spans="1:12" ht="26.25" customHeight="1">
      <c r="A92" s="124" t="s">
        <v>67</v>
      </c>
      <c r="B92" s="125">
        <v>1</v>
      </c>
      <c r="C92" s="224">
        <v>2</v>
      </c>
      <c r="D92" s="137">
        <v>78332264</v>
      </c>
      <c r="E92" s="138">
        <f>IF(ISBLANK(D92),"-",$D$101/$D$98*D92)</f>
        <v>145159488.84581733</v>
      </c>
      <c r="F92" s="137">
        <v>92147596</v>
      </c>
      <c r="G92" s="139">
        <f>IF(ISBLANK(F92),"-",$D$101/$F$98*F92)</f>
        <v>141341525.12818781</v>
      </c>
      <c r="I92" s="530">
        <f>ABS((F96/D96*D95)-F95)/D95</f>
        <v>2.2129680052106551E-2</v>
      </c>
    </row>
    <row r="93" spans="1:12" ht="26.25" customHeight="1">
      <c r="A93" s="124" t="s">
        <v>68</v>
      </c>
      <c r="B93" s="125">
        <v>1</v>
      </c>
      <c r="C93" s="224">
        <v>3</v>
      </c>
      <c r="D93" s="137">
        <v>78648601</v>
      </c>
      <c r="E93" s="138">
        <f>IF(ISBLANK(D93),"-",$D$101/$D$98*D93)</f>
        <v>145745700.89789104</v>
      </c>
      <c r="F93" s="137">
        <v>92540099</v>
      </c>
      <c r="G93" s="139">
        <f>IF(ISBLANK(F93),"-",$D$101/$F$98*F93)</f>
        <v>141943569.83738875</v>
      </c>
      <c r="I93" s="530"/>
    </row>
    <row r="94" spans="1:12" ht="27" customHeight="1" thickBot="1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>
      <c r="A95" s="124" t="s">
        <v>70</v>
      </c>
      <c r="B95" s="125">
        <v>1</v>
      </c>
      <c r="C95" s="216" t="s">
        <v>71</v>
      </c>
      <c r="D95" s="217">
        <f>AVERAGE(D91:D94)</f>
        <v>78352714.666666672</v>
      </c>
      <c r="E95" s="148">
        <f>AVERAGE(E91:E94)</f>
        <v>145197386.49064848</v>
      </c>
      <c r="F95" s="218">
        <f>AVERAGE(F91:F94)</f>
        <v>92927504</v>
      </c>
      <c r="G95" s="219">
        <f>AVERAGE(G91:G94)</f>
        <v>142537794.92756134</v>
      </c>
    </row>
    <row r="96" spans="1:12" ht="26.25" customHeight="1">
      <c r="A96" s="124" t="s">
        <v>72</v>
      </c>
      <c r="B96" s="208">
        <v>1</v>
      </c>
      <c r="C96" s="220" t="s">
        <v>113</v>
      </c>
      <c r="D96" s="221">
        <v>13.26</v>
      </c>
      <c r="E96" s="205"/>
      <c r="F96" s="152">
        <v>16.02</v>
      </c>
    </row>
    <row r="97" spans="1:10" ht="26.25" customHeight="1">
      <c r="A97" s="124" t="s">
        <v>74</v>
      </c>
      <c r="B97" s="208">
        <v>1</v>
      </c>
      <c r="C97" s="222" t="s">
        <v>114</v>
      </c>
      <c r="D97" s="223">
        <f>D96*$B$87</f>
        <v>13.26</v>
      </c>
      <c r="E97" s="224"/>
      <c r="F97" s="154">
        <f>F96*$B$87</f>
        <v>16.02</v>
      </c>
    </row>
    <row r="98" spans="1:10" ht="19.5" customHeight="1" thickBot="1">
      <c r="A98" s="124" t="s">
        <v>76</v>
      </c>
      <c r="B98" s="224">
        <f>(B97/B96)*(B95/B94)*(B93/B92)*(B91/B90)*B89</f>
        <v>83.333333333333343</v>
      </c>
      <c r="C98" s="222" t="s">
        <v>115</v>
      </c>
      <c r="D98" s="225">
        <f>D97*$B$83/100</f>
        <v>13.490724</v>
      </c>
      <c r="E98" s="201"/>
      <c r="F98" s="157">
        <f>F97*$B$83/100</f>
        <v>16.298748</v>
      </c>
    </row>
    <row r="99" spans="1:10" ht="19.5" customHeight="1" thickBot="1">
      <c r="A99" s="531" t="s">
        <v>78</v>
      </c>
      <c r="B99" s="545"/>
      <c r="C99" s="222" t="s">
        <v>116</v>
      </c>
      <c r="D99" s="226">
        <f>D98/$B$98</f>
        <v>0.16188868799999998</v>
      </c>
      <c r="E99" s="201"/>
      <c r="F99" s="161">
        <f>F98/$B$98</f>
        <v>0.19558497599999997</v>
      </c>
      <c r="H99" s="150"/>
    </row>
    <row r="100" spans="1:10" ht="19.5" customHeight="1" thickBot="1">
      <c r="A100" s="533"/>
      <c r="B100" s="546"/>
      <c r="C100" s="222" t="s">
        <v>80</v>
      </c>
      <c r="D100" s="228">
        <f>$B$56/$B$116</f>
        <v>0.3</v>
      </c>
      <c r="F100" s="166"/>
      <c r="G100" s="235"/>
      <c r="H100" s="150"/>
    </row>
    <row r="101" spans="1:10" ht="18.75">
      <c r="C101" s="222" t="s">
        <v>81</v>
      </c>
      <c r="D101" s="223">
        <f>D100*$B$98</f>
        <v>25.000000000000004</v>
      </c>
      <c r="F101" s="166"/>
      <c r="H101" s="150"/>
    </row>
    <row r="102" spans="1:10" ht="19.5" customHeight="1" thickBot="1">
      <c r="C102" s="230" t="s">
        <v>82</v>
      </c>
      <c r="D102" s="231">
        <f>D101/B34</f>
        <v>25.000000000000004</v>
      </c>
      <c r="F102" s="170"/>
      <c r="H102" s="150"/>
      <c r="J102" s="232"/>
    </row>
    <row r="103" spans="1:10" ht="18.75">
      <c r="C103" s="233" t="s">
        <v>117</v>
      </c>
      <c r="D103" s="234">
        <f>AVERAGE(E91:E94,G91:G94)</f>
        <v>143867590.7091049</v>
      </c>
      <c r="F103" s="170"/>
      <c r="G103" s="235"/>
      <c r="H103" s="150"/>
      <c r="J103" s="236"/>
    </row>
    <row r="104" spans="1:10" ht="18.75">
      <c r="C104" s="200" t="s">
        <v>84</v>
      </c>
      <c r="D104" s="237">
        <f>STDEV(E91:E94,G91:G94)/D103</f>
        <v>1.249712646746466E-2</v>
      </c>
      <c r="F104" s="170"/>
      <c r="H104" s="150"/>
      <c r="J104" s="236"/>
    </row>
    <row r="105" spans="1:10" ht="19.5" customHeight="1" thickBot="1">
      <c r="C105" s="202" t="s">
        <v>20</v>
      </c>
      <c r="D105" s="238">
        <f>COUNT(E91:E94,G91:G94)</f>
        <v>6</v>
      </c>
      <c r="F105" s="170"/>
      <c r="H105" s="150"/>
      <c r="J105" s="236"/>
    </row>
    <row r="106" spans="1:10" ht="19.5" customHeight="1" thickBot="1">
      <c r="A106" s="174"/>
      <c r="B106" s="174"/>
      <c r="C106" s="174"/>
      <c r="D106" s="174"/>
      <c r="E106" s="174"/>
    </row>
    <row r="107" spans="1:10" ht="26.25" customHeight="1">
      <c r="A107" s="122" t="s">
        <v>118</v>
      </c>
      <c r="B107" s="123">
        <v>1000</v>
      </c>
      <c r="C107" s="284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>
      <c r="A108" s="124" t="s">
        <v>122</v>
      </c>
      <c r="B108" s="125">
        <v>1</v>
      </c>
      <c r="C108" s="243">
        <v>1</v>
      </c>
      <c r="D108" s="244">
        <v>138370103</v>
      </c>
      <c r="E108" s="279">
        <f t="shared" ref="E108:E113" si="1">IF(ISBLANK(D108),"-",D108/$D$103*$D$100*$B$116)</f>
        <v>288.53635968599633</v>
      </c>
      <c r="F108" s="245">
        <f>IF(ISBLANK(D108), "-", E108/$B$56)</f>
        <v>0.96178786561998775</v>
      </c>
    </row>
    <row r="109" spans="1:10" ht="26.25" customHeight="1">
      <c r="A109" s="124" t="s">
        <v>95</v>
      </c>
      <c r="B109" s="125">
        <v>1</v>
      </c>
      <c r="C109" s="243">
        <v>2</v>
      </c>
      <c r="D109" s="244">
        <v>137999683</v>
      </c>
      <c r="E109" s="280">
        <f t="shared" si="1"/>
        <v>287.76394110685516</v>
      </c>
      <c r="F109" s="246">
        <f t="shared" ref="F109:F113" si="2">IF(ISBLANK(D109), "-", E109/$B$56)</f>
        <v>0.95921313702285049</v>
      </c>
    </row>
    <row r="110" spans="1:10" ht="26.25" customHeight="1">
      <c r="A110" s="124" t="s">
        <v>96</v>
      </c>
      <c r="B110" s="125">
        <v>1</v>
      </c>
      <c r="C110" s="243">
        <v>3</v>
      </c>
      <c r="D110" s="244">
        <v>138737006</v>
      </c>
      <c r="E110" s="280">
        <f t="shared" si="1"/>
        <v>289.3014444382847</v>
      </c>
      <c r="F110" s="246">
        <f>IF(ISBLANK(D110), "-", E110/$B$56)</f>
        <v>0.96433814812761565</v>
      </c>
    </row>
    <row r="111" spans="1:10" ht="26.25" customHeight="1">
      <c r="A111" s="124" t="s">
        <v>97</v>
      </c>
      <c r="B111" s="125">
        <v>1</v>
      </c>
      <c r="C111" s="243">
        <v>4</v>
      </c>
      <c r="D111" s="244">
        <v>139062643</v>
      </c>
      <c r="E111" s="280">
        <f t="shared" si="1"/>
        <v>289.98047923353289</v>
      </c>
      <c r="F111" s="246">
        <f t="shared" si="2"/>
        <v>0.96660159744510965</v>
      </c>
    </row>
    <row r="112" spans="1:10" ht="26.25" customHeight="1">
      <c r="A112" s="124" t="s">
        <v>98</v>
      </c>
      <c r="B112" s="125">
        <v>1</v>
      </c>
      <c r="C112" s="243">
        <v>5</v>
      </c>
      <c r="D112" s="244">
        <v>138561885</v>
      </c>
      <c r="E112" s="280">
        <f t="shared" si="1"/>
        <v>288.93627324343078</v>
      </c>
      <c r="F112" s="246">
        <f>IF(ISBLANK(D112), "-", E112/$B$56)</f>
        <v>0.96312091081143592</v>
      </c>
    </row>
    <row r="113" spans="1:10" ht="26.25" customHeight="1">
      <c r="A113" s="124" t="s">
        <v>100</v>
      </c>
      <c r="B113" s="125">
        <v>1</v>
      </c>
      <c r="C113" s="247">
        <v>6</v>
      </c>
      <c r="D113" s="248">
        <v>138964803</v>
      </c>
      <c r="E113" s="281">
        <f t="shared" si="1"/>
        <v>289.77645830112323</v>
      </c>
      <c r="F113" s="249">
        <f t="shared" si="2"/>
        <v>0.96592152767041073</v>
      </c>
    </row>
    <row r="114" spans="1:10" ht="26.25" customHeight="1">
      <c r="A114" s="124" t="s">
        <v>101</v>
      </c>
      <c r="B114" s="125">
        <v>1</v>
      </c>
      <c r="C114" s="243"/>
      <c r="D114" s="224"/>
      <c r="E114" s="205"/>
      <c r="F114" s="250"/>
    </row>
    <row r="115" spans="1:10" ht="26.25" customHeight="1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0.96349719778290177</v>
      </c>
    </row>
    <row r="116" spans="1:10" ht="27" customHeight="1" thickBot="1">
      <c r="A116" s="124" t="s">
        <v>103</v>
      </c>
      <c r="B116" s="156">
        <f>(B115/B114)*(B113/B112)*(B111/B110)*(B109/B108)*B107</f>
        <v>1000</v>
      </c>
      <c r="C116" s="254"/>
      <c r="D116" s="255"/>
      <c r="E116" s="216" t="s">
        <v>84</v>
      </c>
      <c r="F116" s="256">
        <f>STDEV(F108:F113)/F115</f>
        <v>2.8476095211344261E-3</v>
      </c>
      <c r="I116" s="205"/>
    </row>
    <row r="117" spans="1:10" ht="27" customHeight="1" thickBot="1">
      <c r="A117" s="531" t="s">
        <v>78</v>
      </c>
      <c r="B117" s="532"/>
      <c r="C117" s="257"/>
      <c r="D117" s="258"/>
      <c r="E117" s="259" t="s">
        <v>20</v>
      </c>
      <c r="F117" s="260">
        <f>COUNT(F108:F113)</f>
        <v>6</v>
      </c>
      <c r="I117" s="205"/>
      <c r="J117" s="236"/>
    </row>
    <row r="118" spans="1:10" ht="19.5" customHeight="1" thickBot="1">
      <c r="A118" s="533"/>
      <c r="B118" s="534"/>
      <c r="C118" s="205"/>
      <c r="D118" s="205"/>
      <c r="E118" s="205"/>
      <c r="F118" s="224"/>
      <c r="G118" s="205"/>
      <c r="H118" s="205"/>
      <c r="I118" s="205"/>
    </row>
    <row r="119" spans="1:10" ht="18.75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>
      <c r="A120" s="264" t="s">
        <v>106</v>
      </c>
      <c r="B120" s="216" t="s">
        <v>123</v>
      </c>
      <c r="C120" s="543" t="str">
        <f>B20</f>
        <v>Lamivudine</v>
      </c>
      <c r="D120" s="543"/>
      <c r="E120" s="205" t="s">
        <v>124</v>
      </c>
      <c r="F120" s="205"/>
      <c r="G120" s="206">
        <f>F115</f>
        <v>0.96349719778290177</v>
      </c>
      <c r="H120" s="205"/>
      <c r="I120" s="205"/>
    </row>
    <row r="121" spans="1:10" ht="19.5" customHeight="1" thickBot="1">
      <c r="A121" s="285"/>
      <c r="B121" s="285"/>
      <c r="C121" s="262"/>
      <c r="D121" s="262"/>
      <c r="E121" s="262"/>
      <c r="F121" s="262"/>
      <c r="G121" s="262"/>
      <c r="H121" s="262"/>
    </row>
    <row r="122" spans="1:10" ht="18.75">
      <c r="B122" s="544" t="s">
        <v>26</v>
      </c>
      <c r="C122" s="544"/>
      <c r="E122" s="283" t="s">
        <v>27</v>
      </c>
      <c r="F122" s="263"/>
      <c r="G122" s="544" t="s">
        <v>28</v>
      </c>
      <c r="H122" s="544"/>
    </row>
    <row r="123" spans="1:10" ht="69.95" customHeight="1">
      <c r="A123" s="264" t="s">
        <v>29</v>
      </c>
      <c r="B123" s="266" t="s">
        <v>126</v>
      </c>
      <c r="C123" s="266"/>
      <c r="E123" s="498">
        <v>42303</v>
      </c>
      <c r="F123" s="205"/>
      <c r="G123" s="266"/>
      <c r="H123" s="266"/>
    </row>
    <row r="124" spans="1:10" ht="69.95" customHeight="1">
      <c r="A124" s="264" t="s">
        <v>30</v>
      </c>
      <c r="B124" s="267"/>
      <c r="C124" s="267"/>
      <c r="E124" s="267"/>
      <c r="F124" s="205"/>
      <c r="G124" s="268"/>
      <c r="H124" s="268"/>
    </row>
    <row r="125" spans="1:10" ht="18.75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5" zoomScaleNormal="100" zoomScaleSheetLayoutView="100" workbookViewId="0">
      <selection activeCell="B17" sqref="B17:F53"/>
    </sheetView>
  </sheetViews>
  <sheetFormatPr defaultRowHeight="13.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327"/>
  </cols>
  <sheetData>
    <row r="14" spans="1:6" ht="15" customHeight="1">
      <c r="A14" s="289"/>
      <c r="C14" s="291"/>
      <c r="F14" s="291"/>
    </row>
    <row r="15" spans="1:6" ht="18.75" customHeight="1">
      <c r="A15" s="552" t="s">
        <v>0</v>
      </c>
      <c r="B15" s="552"/>
      <c r="C15" s="552"/>
      <c r="D15" s="552"/>
      <c r="E15" s="552"/>
    </row>
    <row r="16" spans="1:6" ht="16.5" customHeight="1">
      <c r="A16" s="292" t="s">
        <v>1</v>
      </c>
      <c r="B16" s="293" t="s">
        <v>2</v>
      </c>
    </row>
    <row r="17" spans="1:6" ht="16.5" customHeight="1">
      <c r="A17" s="294" t="s">
        <v>3</v>
      </c>
      <c r="B17" s="294" t="s">
        <v>129</v>
      </c>
      <c r="D17" s="295"/>
      <c r="E17" s="296"/>
    </row>
    <row r="18" spans="1:6" ht="16.5" customHeight="1">
      <c r="A18" s="297" t="s">
        <v>4</v>
      </c>
      <c r="B18" s="298" t="s">
        <v>130</v>
      </c>
      <c r="C18" s="296"/>
      <c r="D18" s="296"/>
      <c r="E18" s="296"/>
    </row>
    <row r="19" spans="1:6" ht="16.5" customHeight="1">
      <c r="A19" s="297" t="s">
        <v>6</v>
      </c>
      <c r="B19" s="298">
        <v>99.3</v>
      </c>
      <c r="C19" s="296"/>
      <c r="D19" s="296"/>
      <c r="E19" s="296"/>
    </row>
    <row r="20" spans="1:6" ht="16.5" customHeight="1">
      <c r="A20" s="294" t="s">
        <v>8</v>
      </c>
      <c r="B20" s="290">
        <f>Efavirenz!D43</f>
        <v>27.22</v>
      </c>
      <c r="C20" s="296"/>
      <c r="D20" s="296"/>
      <c r="E20" s="296"/>
    </row>
    <row r="21" spans="1:6" ht="16.5" customHeight="1">
      <c r="A21" s="294" t="s">
        <v>10</v>
      </c>
      <c r="B21" s="299">
        <f>B20/Efavirenz!B45</f>
        <v>0.10887999999999999</v>
      </c>
      <c r="C21" s="296"/>
      <c r="D21" s="296"/>
      <c r="E21" s="296"/>
    </row>
    <row r="22" spans="1:6" ht="15.75" customHeight="1">
      <c r="A22" s="296"/>
      <c r="B22" s="296"/>
      <c r="C22" s="296"/>
      <c r="D22" s="296"/>
      <c r="E22" s="296"/>
    </row>
    <row r="23" spans="1:6" ht="16.5" customHeight="1">
      <c r="A23" s="300" t="s">
        <v>13</v>
      </c>
      <c r="B23" s="301" t="s">
        <v>14</v>
      </c>
      <c r="C23" s="300" t="s">
        <v>15</v>
      </c>
      <c r="D23" s="300" t="s">
        <v>16</v>
      </c>
      <c r="E23" s="300" t="s">
        <v>17</v>
      </c>
    </row>
    <row r="24" spans="1:6" ht="16.5" customHeight="1">
      <c r="A24" s="302">
        <v>1</v>
      </c>
      <c r="B24" s="303">
        <v>114150927</v>
      </c>
      <c r="C24" s="303">
        <v>49976.800000000003</v>
      </c>
      <c r="D24" s="304">
        <v>1.1000000000000001</v>
      </c>
      <c r="E24" s="305">
        <v>11.313000000000001</v>
      </c>
      <c r="F24" s="604">
        <v>21.85014</v>
      </c>
    </row>
    <row r="25" spans="1:6" ht="16.5" customHeight="1">
      <c r="A25" s="302">
        <v>2</v>
      </c>
      <c r="B25" s="303">
        <v>113785619</v>
      </c>
      <c r="C25" s="303">
        <v>50386.2</v>
      </c>
      <c r="D25" s="304">
        <v>1</v>
      </c>
      <c r="E25" s="304">
        <v>11.318</v>
      </c>
      <c r="F25" s="604">
        <v>21.92381</v>
      </c>
    </row>
    <row r="26" spans="1:6" ht="16.5" customHeight="1">
      <c r="A26" s="302">
        <v>3</v>
      </c>
      <c r="B26" s="303">
        <v>113552589</v>
      </c>
      <c r="C26" s="303">
        <v>52077.2</v>
      </c>
      <c r="D26" s="304">
        <v>1</v>
      </c>
      <c r="E26" s="304">
        <v>11.43</v>
      </c>
      <c r="F26" s="604">
        <v>22.763829999999999</v>
      </c>
    </row>
    <row r="27" spans="1:6" ht="16.5" customHeight="1">
      <c r="A27" s="302">
        <v>4</v>
      </c>
      <c r="B27" s="303">
        <v>114054715</v>
      </c>
      <c r="C27" s="303">
        <v>50402.5</v>
      </c>
      <c r="D27" s="304">
        <v>1.1000000000000001</v>
      </c>
      <c r="E27" s="304">
        <v>11.318</v>
      </c>
      <c r="F27" s="604">
        <v>21.924900000000001</v>
      </c>
    </row>
    <row r="28" spans="1:6" ht="16.5" customHeight="1">
      <c r="A28" s="302">
        <v>5</v>
      </c>
      <c r="B28" s="303">
        <v>114254934</v>
      </c>
      <c r="C28" s="303">
        <v>50596.800000000003</v>
      </c>
      <c r="D28" s="304">
        <v>1.1000000000000001</v>
      </c>
      <c r="E28" s="304">
        <v>11.318</v>
      </c>
      <c r="F28" s="604">
        <v>21.959720000000001</v>
      </c>
    </row>
    <row r="29" spans="1:6" ht="16.5" customHeight="1">
      <c r="A29" s="302">
        <v>6</v>
      </c>
      <c r="B29" s="306">
        <v>113997770</v>
      </c>
      <c r="C29" s="306">
        <v>51266.2</v>
      </c>
      <c r="D29" s="307">
        <v>1</v>
      </c>
      <c r="E29" s="307">
        <v>11.318</v>
      </c>
      <c r="F29" s="604">
        <v>22.087319999999998</v>
      </c>
    </row>
    <row r="30" spans="1:6" ht="16.5" customHeight="1">
      <c r="A30" s="308" t="s">
        <v>18</v>
      </c>
      <c r="B30" s="309">
        <f>AVERAGE(B24:B29)</f>
        <v>113966092.33333333</v>
      </c>
      <c r="C30" s="310">
        <f>AVERAGE(C24:C29)</f>
        <v>50784.283333333333</v>
      </c>
      <c r="D30" s="311">
        <f>AVERAGE(D24:D29)</f>
        <v>1.05</v>
      </c>
      <c r="E30" s="311">
        <f>AVERAGE(E24:E29)</f>
        <v>11.335833333333333</v>
      </c>
      <c r="F30" s="311">
        <f>AVERAGE(F24:F29)</f>
        <v>22.084953333333335</v>
      </c>
    </row>
    <row r="31" spans="1:6" ht="16.5" customHeight="1">
      <c r="A31" s="312" t="s">
        <v>19</v>
      </c>
      <c r="B31" s="313">
        <f>(STDEV(B24:B29)/B30)</f>
        <v>2.2542420724668165E-3</v>
      </c>
      <c r="C31" s="314"/>
      <c r="D31" s="314"/>
      <c r="E31" s="315"/>
    </row>
    <row r="32" spans="1:6" s="290" customFormat="1" ht="16.5" customHeight="1">
      <c r="A32" s="316" t="s">
        <v>20</v>
      </c>
      <c r="B32" s="317">
        <f>COUNT(B24:B29)</f>
        <v>6</v>
      </c>
      <c r="C32" s="318"/>
      <c r="D32" s="319"/>
      <c r="E32" s="320"/>
    </row>
    <row r="33" spans="1:6" s="290" customFormat="1" ht="15.75" customHeight="1">
      <c r="A33" s="296"/>
      <c r="B33" s="296"/>
      <c r="C33" s="296"/>
      <c r="D33" s="296"/>
      <c r="E33" s="296"/>
    </row>
    <row r="34" spans="1:6" s="290" customFormat="1" ht="16.5" customHeight="1">
      <c r="A34" s="297" t="s">
        <v>21</v>
      </c>
      <c r="B34" s="321" t="s">
        <v>22</v>
      </c>
      <c r="C34" s="322"/>
      <c r="D34" s="322"/>
      <c r="E34" s="322"/>
    </row>
    <row r="35" spans="1:6" ht="16.5" customHeight="1">
      <c r="A35" s="297"/>
      <c r="B35" s="321" t="s">
        <v>23</v>
      </c>
      <c r="C35" s="322"/>
      <c r="D35" s="322"/>
      <c r="E35" s="322"/>
    </row>
    <row r="36" spans="1:6" ht="16.5" customHeight="1">
      <c r="A36" s="297"/>
      <c r="B36" s="321" t="s">
        <v>24</v>
      </c>
      <c r="C36" s="322"/>
      <c r="D36" s="322"/>
      <c r="E36" s="322"/>
    </row>
    <row r="37" spans="1:6" ht="15.75" customHeight="1">
      <c r="A37" s="296"/>
      <c r="B37" s="296"/>
      <c r="C37" s="296"/>
      <c r="D37" s="296"/>
      <c r="E37" s="296"/>
    </row>
    <row r="38" spans="1:6" ht="16.5" customHeight="1">
      <c r="A38" s="292" t="s">
        <v>1</v>
      </c>
      <c r="B38" s="293" t="s">
        <v>25</v>
      </c>
    </row>
    <row r="39" spans="1:6" ht="16.5" customHeight="1">
      <c r="A39" s="297" t="s">
        <v>4</v>
      </c>
      <c r="B39" s="323" t="str">
        <f>B18</f>
        <v>EFAVIRENZ</v>
      </c>
      <c r="C39" s="296"/>
      <c r="D39" s="296"/>
      <c r="E39" s="296"/>
    </row>
    <row r="40" spans="1:6" ht="16.5" customHeight="1">
      <c r="A40" s="297" t="s">
        <v>6</v>
      </c>
      <c r="B40" s="298">
        <f>B19</f>
        <v>99.3</v>
      </c>
      <c r="C40" s="296"/>
      <c r="D40" s="296"/>
      <c r="E40" s="296"/>
    </row>
    <row r="41" spans="1:6" ht="16.5" customHeight="1">
      <c r="A41" s="294" t="s">
        <v>8</v>
      </c>
      <c r="B41" s="298">
        <f>Efavirenz!D96</f>
        <v>29.98</v>
      </c>
      <c r="C41" s="296"/>
      <c r="D41" s="296"/>
      <c r="E41" s="296"/>
    </row>
    <row r="42" spans="1:6" ht="16.5" customHeight="1">
      <c r="A42" s="294" t="s">
        <v>10</v>
      </c>
      <c r="B42" s="299">
        <f>B41/Efavirenz!B98</f>
        <v>0.47968</v>
      </c>
      <c r="C42" s="296"/>
      <c r="D42" s="296"/>
      <c r="E42" s="296"/>
    </row>
    <row r="43" spans="1:6" ht="15.75" customHeight="1">
      <c r="A43" s="296"/>
      <c r="B43" s="296"/>
      <c r="C43" s="296"/>
      <c r="D43" s="296"/>
      <c r="E43" s="296"/>
    </row>
    <row r="44" spans="1:6" ht="16.5" customHeight="1">
      <c r="A44" s="300" t="s">
        <v>13</v>
      </c>
      <c r="B44" s="301" t="s">
        <v>14</v>
      </c>
      <c r="C44" s="300" t="s">
        <v>15</v>
      </c>
      <c r="D44" s="300" t="s">
        <v>16</v>
      </c>
      <c r="E44" s="300" t="s">
        <v>17</v>
      </c>
    </row>
    <row r="45" spans="1:6" ht="16.5" customHeight="1">
      <c r="A45" s="302">
        <v>1</v>
      </c>
      <c r="B45" s="303">
        <v>228867357</v>
      </c>
      <c r="C45" s="303">
        <v>61296.9</v>
      </c>
      <c r="D45" s="304">
        <v>1.1000000000000001</v>
      </c>
      <c r="E45" s="305">
        <v>11.3</v>
      </c>
      <c r="F45" s="290">
        <v>24.6</v>
      </c>
    </row>
    <row r="46" spans="1:6" ht="16.5" customHeight="1">
      <c r="A46" s="302">
        <v>2</v>
      </c>
      <c r="B46" s="303">
        <v>229328950</v>
      </c>
      <c r="C46" s="303">
        <v>60966.400000000001</v>
      </c>
      <c r="D46" s="304">
        <v>1</v>
      </c>
      <c r="E46" s="304">
        <v>11.3</v>
      </c>
      <c r="F46" s="290">
        <v>24.4</v>
      </c>
    </row>
    <row r="47" spans="1:6" ht="16.5" customHeight="1">
      <c r="A47" s="302">
        <v>3</v>
      </c>
      <c r="B47" s="303">
        <v>229523823</v>
      </c>
      <c r="C47" s="303">
        <v>60925.2</v>
      </c>
      <c r="D47" s="304">
        <v>1.1000000000000001</v>
      </c>
      <c r="E47" s="304">
        <v>11.3</v>
      </c>
      <c r="F47" s="290">
        <v>24.2</v>
      </c>
    </row>
    <row r="48" spans="1:6" ht="16.5" customHeight="1">
      <c r="A48" s="302">
        <v>4</v>
      </c>
      <c r="B48" s="303">
        <v>229606023</v>
      </c>
      <c r="C48" s="303">
        <v>61014.400000000001</v>
      </c>
      <c r="D48" s="304">
        <v>1</v>
      </c>
      <c r="E48" s="304">
        <v>11.3</v>
      </c>
      <c r="F48" s="290">
        <v>24.4</v>
      </c>
    </row>
    <row r="49" spans="1:7" ht="16.5" customHeight="1">
      <c r="A49" s="302">
        <v>5</v>
      </c>
      <c r="B49" s="303">
        <v>229728158</v>
      </c>
      <c r="C49" s="303">
        <v>61009</v>
      </c>
      <c r="D49" s="304">
        <v>1.1000000000000001</v>
      </c>
      <c r="E49" s="304">
        <v>11.3</v>
      </c>
      <c r="F49" s="290">
        <v>24.4</v>
      </c>
    </row>
    <row r="50" spans="1:7" ht="16.5" customHeight="1">
      <c r="A50" s="302">
        <v>6</v>
      </c>
      <c r="B50" s="306">
        <v>229896677</v>
      </c>
      <c r="C50" s="306">
        <v>60454.9</v>
      </c>
      <c r="D50" s="307">
        <v>1.1000000000000001</v>
      </c>
      <c r="E50" s="307">
        <v>11.3</v>
      </c>
      <c r="F50" s="290">
        <v>24.3</v>
      </c>
    </row>
    <row r="51" spans="1:7" ht="16.5" customHeight="1">
      <c r="A51" s="308" t="s">
        <v>18</v>
      </c>
      <c r="B51" s="309">
        <f>AVERAGE(B45:B50)</f>
        <v>229491831.33333334</v>
      </c>
      <c r="C51" s="310">
        <f>AVERAGE(C45:C50)</f>
        <v>60944.466666666674</v>
      </c>
      <c r="D51" s="311">
        <f>AVERAGE(D45:D50)</f>
        <v>1.0666666666666667</v>
      </c>
      <c r="E51" s="311">
        <f>AVERAGE(E45:E50)</f>
        <v>11.299999999999999</v>
      </c>
      <c r="F51" s="311">
        <f>AVERAGE(F45:F50)</f>
        <v>24.383333333333336</v>
      </c>
    </row>
    <row r="52" spans="1:7" ht="16.5" customHeight="1">
      <c r="A52" s="312" t="s">
        <v>19</v>
      </c>
      <c r="B52" s="313">
        <f>(STDEV(B45:B50)/B51)</f>
        <v>1.571479286590652E-3</v>
      </c>
      <c r="C52" s="314"/>
      <c r="D52" s="314"/>
      <c r="E52" s="315"/>
    </row>
    <row r="53" spans="1:7" s="290" customFormat="1" ht="16.5" customHeight="1">
      <c r="A53" s="316" t="s">
        <v>20</v>
      </c>
      <c r="B53" s="317">
        <f>COUNT(B45:B50)</f>
        <v>6</v>
      </c>
      <c r="C53" s="318"/>
      <c r="D53" s="319"/>
      <c r="E53" s="320"/>
    </row>
    <row r="54" spans="1:7" s="290" customFormat="1" ht="15.75" customHeight="1">
      <c r="A54" s="296"/>
      <c r="B54" s="296"/>
      <c r="C54" s="296"/>
      <c r="D54" s="296"/>
      <c r="E54" s="296"/>
    </row>
    <row r="55" spans="1:7" s="290" customFormat="1" ht="16.5" customHeight="1">
      <c r="A55" s="297" t="s">
        <v>21</v>
      </c>
      <c r="B55" s="321" t="s">
        <v>22</v>
      </c>
      <c r="C55" s="322"/>
      <c r="D55" s="322"/>
      <c r="E55" s="322"/>
    </row>
    <row r="56" spans="1:7" ht="16.5" customHeight="1">
      <c r="A56" s="297"/>
      <c r="B56" s="321" t="s">
        <v>23</v>
      </c>
      <c r="C56" s="322"/>
      <c r="D56" s="322"/>
      <c r="E56" s="322"/>
    </row>
    <row r="57" spans="1:7" ht="16.5" customHeight="1">
      <c r="A57" s="297"/>
      <c r="B57" s="321" t="s">
        <v>24</v>
      </c>
      <c r="C57" s="322"/>
      <c r="D57" s="322"/>
      <c r="E57" s="322"/>
    </row>
    <row r="58" spans="1:7" ht="14.25" customHeight="1" thickBot="1">
      <c r="A58" s="324"/>
      <c r="B58" s="325"/>
      <c r="D58" s="326"/>
      <c r="F58" s="327"/>
      <c r="G58" s="327"/>
    </row>
    <row r="59" spans="1:7" ht="15" customHeight="1">
      <c r="B59" s="553" t="s">
        <v>26</v>
      </c>
      <c r="C59" s="553"/>
      <c r="E59" s="328" t="s">
        <v>27</v>
      </c>
      <c r="F59" s="329"/>
      <c r="G59" s="328" t="s">
        <v>28</v>
      </c>
    </row>
    <row r="60" spans="1:7" ht="15" customHeight="1">
      <c r="A60" s="330" t="s">
        <v>29</v>
      </c>
      <c r="B60" s="331" t="s">
        <v>126</v>
      </c>
      <c r="C60" s="331"/>
      <c r="E60" s="502">
        <v>42303</v>
      </c>
      <c r="G60" s="331"/>
    </row>
    <row r="61" spans="1:7" ht="15" customHeight="1">
      <c r="A61" s="330" t="s">
        <v>30</v>
      </c>
      <c r="B61" s="332"/>
      <c r="C61" s="332"/>
      <c r="E61" s="332"/>
      <c r="G61" s="33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activeCell="D24" sqref="D24"/>
    </sheetView>
  </sheetViews>
  <sheetFormatPr defaultColWidth="9.140625" defaultRowHeight="13.5"/>
  <cols>
    <col min="1" max="1" width="55.42578125" style="290" customWidth="1"/>
    <col min="2" max="2" width="33.7109375" style="290" customWidth="1"/>
    <col min="3" max="3" width="42.28515625" style="290" customWidth="1"/>
    <col min="4" max="4" width="30.5703125" style="290" customWidth="1"/>
    <col min="5" max="5" width="39.85546875" style="290" customWidth="1"/>
    <col min="6" max="6" width="30.7109375" style="290" customWidth="1"/>
    <col min="7" max="7" width="39.85546875" style="290" customWidth="1"/>
    <col min="8" max="8" width="30" style="290" customWidth="1"/>
    <col min="9" max="9" width="30.28515625" style="290" hidden="1" customWidth="1"/>
    <col min="10" max="10" width="30.42578125" style="290" customWidth="1"/>
    <col min="11" max="11" width="21.28515625" style="290" customWidth="1"/>
    <col min="12" max="12" width="9.140625" style="290"/>
    <col min="13" max="16384" width="9.140625" style="327"/>
  </cols>
  <sheetData>
    <row r="1" spans="1:9" ht="18.75" customHeight="1">
      <c r="A1" s="557" t="s">
        <v>45</v>
      </c>
      <c r="B1" s="557"/>
      <c r="C1" s="557"/>
      <c r="D1" s="557"/>
      <c r="E1" s="557"/>
      <c r="F1" s="557"/>
      <c r="G1" s="557"/>
      <c r="H1" s="557"/>
      <c r="I1" s="557"/>
    </row>
    <row r="2" spans="1:9" ht="18.75" customHeight="1">
      <c r="A2" s="557"/>
      <c r="B2" s="557"/>
      <c r="C2" s="557"/>
      <c r="D2" s="557"/>
      <c r="E2" s="557"/>
      <c r="F2" s="557"/>
      <c r="G2" s="557"/>
      <c r="H2" s="557"/>
      <c r="I2" s="557"/>
    </row>
    <row r="3" spans="1:9" ht="18.75" customHeight="1">
      <c r="A3" s="557"/>
      <c r="B3" s="557"/>
      <c r="C3" s="557"/>
      <c r="D3" s="557"/>
      <c r="E3" s="557"/>
      <c r="F3" s="557"/>
      <c r="G3" s="557"/>
      <c r="H3" s="557"/>
      <c r="I3" s="557"/>
    </row>
    <row r="4" spans="1:9" ht="18.75" customHeight="1">
      <c r="A4" s="557"/>
      <c r="B4" s="557"/>
      <c r="C4" s="557"/>
      <c r="D4" s="557"/>
      <c r="E4" s="557"/>
      <c r="F4" s="557"/>
      <c r="G4" s="557"/>
      <c r="H4" s="557"/>
      <c r="I4" s="557"/>
    </row>
    <row r="5" spans="1:9" ht="18.75" customHeight="1">
      <c r="A5" s="557"/>
      <c r="B5" s="557"/>
      <c r="C5" s="557"/>
      <c r="D5" s="557"/>
      <c r="E5" s="557"/>
      <c r="F5" s="557"/>
      <c r="G5" s="557"/>
      <c r="H5" s="557"/>
      <c r="I5" s="557"/>
    </row>
    <row r="6" spans="1:9" ht="18.75" customHeight="1">
      <c r="A6" s="557"/>
      <c r="B6" s="557"/>
      <c r="C6" s="557"/>
      <c r="D6" s="557"/>
      <c r="E6" s="557"/>
      <c r="F6" s="557"/>
      <c r="G6" s="557"/>
      <c r="H6" s="557"/>
      <c r="I6" s="557"/>
    </row>
    <row r="7" spans="1:9" ht="18.75" customHeight="1">
      <c r="A7" s="557"/>
      <c r="B7" s="557"/>
      <c r="C7" s="557"/>
      <c r="D7" s="557"/>
      <c r="E7" s="557"/>
      <c r="F7" s="557"/>
      <c r="G7" s="557"/>
      <c r="H7" s="557"/>
      <c r="I7" s="557"/>
    </row>
    <row r="8" spans="1:9">
      <c r="A8" s="558" t="s">
        <v>46</v>
      </c>
      <c r="B8" s="558"/>
      <c r="C8" s="558"/>
      <c r="D8" s="558"/>
      <c r="E8" s="558"/>
      <c r="F8" s="558"/>
      <c r="G8" s="558"/>
      <c r="H8" s="558"/>
      <c r="I8" s="558"/>
    </row>
    <row r="9" spans="1:9">
      <c r="A9" s="558"/>
      <c r="B9" s="558"/>
      <c r="C9" s="558"/>
      <c r="D9" s="558"/>
      <c r="E9" s="558"/>
      <c r="F9" s="558"/>
      <c r="G9" s="558"/>
      <c r="H9" s="558"/>
      <c r="I9" s="558"/>
    </row>
    <row r="10" spans="1:9">
      <c r="A10" s="558"/>
      <c r="B10" s="558"/>
      <c r="C10" s="558"/>
      <c r="D10" s="558"/>
      <c r="E10" s="558"/>
      <c r="F10" s="558"/>
      <c r="G10" s="558"/>
      <c r="H10" s="558"/>
      <c r="I10" s="558"/>
    </row>
    <row r="11" spans="1:9">
      <c r="A11" s="558"/>
      <c r="B11" s="558"/>
      <c r="C11" s="558"/>
      <c r="D11" s="558"/>
      <c r="E11" s="558"/>
      <c r="F11" s="558"/>
      <c r="G11" s="558"/>
      <c r="H11" s="558"/>
      <c r="I11" s="558"/>
    </row>
    <row r="12" spans="1:9">
      <c r="A12" s="558"/>
      <c r="B12" s="558"/>
      <c r="C12" s="558"/>
      <c r="D12" s="558"/>
      <c r="E12" s="558"/>
      <c r="F12" s="558"/>
      <c r="G12" s="558"/>
      <c r="H12" s="558"/>
      <c r="I12" s="558"/>
    </row>
    <row r="13" spans="1:9">
      <c r="A13" s="558"/>
      <c r="B13" s="558"/>
      <c r="C13" s="558"/>
      <c r="D13" s="558"/>
      <c r="E13" s="558"/>
      <c r="F13" s="558"/>
      <c r="G13" s="558"/>
      <c r="H13" s="558"/>
      <c r="I13" s="558"/>
    </row>
    <row r="14" spans="1:9">
      <c r="A14" s="558"/>
      <c r="B14" s="558"/>
      <c r="C14" s="558"/>
      <c r="D14" s="558"/>
      <c r="E14" s="558"/>
      <c r="F14" s="558"/>
      <c r="G14" s="558"/>
      <c r="H14" s="558"/>
      <c r="I14" s="558"/>
    </row>
    <row r="15" spans="1:9" ht="19.5" customHeight="1" thickBot="1">
      <c r="A15" s="334"/>
    </row>
    <row r="16" spans="1:9" ht="19.5" customHeight="1" thickBot="1">
      <c r="A16" s="559" t="s">
        <v>31</v>
      </c>
      <c r="B16" s="560"/>
      <c r="C16" s="560"/>
      <c r="D16" s="560"/>
      <c r="E16" s="560"/>
      <c r="F16" s="560"/>
      <c r="G16" s="560"/>
      <c r="H16" s="561"/>
    </row>
    <row r="17" spans="1:14" ht="20.25" customHeight="1">
      <c r="A17" s="562" t="s">
        <v>47</v>
      </c>
      <c r="B17" s="562"/>
      <c r="C17" s="562"/>
      <c r="D17" s="562"/>
      <c r="E17" s="562"/>
      <c r="F17" s="562"/>
      <c r="G17" s="562"/>
      <c r="H17" s="562"/>
    </row>
    <row r="18" spans="1:14" ht="26.25" customHeight="1">
      <c r="A18" s="335" t="s">
        <v>33</v>
      </c>
      <c r="B18" s="563" t="str">
        <f>Lamivudine!B18</f>
        <v>Efavirenz 600mg, Lamivudine 300mg and Tenofovir Disoproxil Fumarate 300mg Tablets</v>
      </c>
      <c r="C18" s="563"/>
      <c r="D18" s="336"/>
      <c r="E18" s="337"/>
      <c r="F18" s="338"/>
      <c r="G18" s="338"/>
      <c r="H18" s="338"/>
    </row>
    <row r="19" spans="1:14" ht="26.25" customHeight="1">
      <c r="A19" s="335" t="s">
        <v>34</v>
      </c>
      <c r="B19" s="339" t="s">
        <v>134</v>
      </c>
      <c r="C19" s="340">
        <v>1</v>
      </c>
      <c r="D19" s="338"/>
      <c r="E19" s="338"/>
      <c r="F19" s="338"/>
      <c r="G19" s="338"/>
      <c r="H19" s="338"/>
    </row>
    <row r="20" spans="1:14" ht="26.25" customHeight="1">
      <c r="A20" s="335" t="s">
        <v>35</v>
      </c>
      <c r="B20" s="564" t="s">
        <v>130</v>
      </c>
      <c r="C20" s="564"/>
      <c r="D20" s="338"/>
      <c r="E20" s="338"/>
      <c r="F20" s="338"/>
      <c r="G20" s="338"/>
      <c r="H20" s="338"/>
    </row>
    <row r="21" spans="1:14" ht="26.25" customHeight="1">
      <c r="A21" s="335" t="s">
        <v>36</v>
      </c>
      <c r="B21" s="564" t="s">
        <v>131</v>
      </c>
      <c r="C21" s="564"/>
      <c r="D21" s="564"/>
      <c r="E21" s="564"/>
      <c r="F21" s="564"/>
      <c r="G21" s="564"/>
      <c r="H21" s="564"/>
      <c r="I21" s="341"/>
    </row>
    <row r="22" spans="1:14" ht="26.25" customHeight="1">
      <c r="A22" s="335" t="s">
        <v>37</v>
      </c>
      <c r="B22" s="342">
        <v>42259</v>
      </c>
      <c r="C22" s="338"/>
      <c r="D22" s="338"/>
      <c r="E22" s="338"/>
      <c r="F22" s="338"/>
      <c r="G22" s="338"/>
      <c r="H22" s="338"/>
    </row>
    <row r="23" spans="1:14" ht="26.25" customHeight="1">
      <c r="A23" s="335" t="s">
        <v>38</v>
      </c>
      <c r="B23" s="342">
        <v>42278</v>
      </c>
      <c r="C23" s="338"/>
      <c r="D23" s="338"/>
      <c r="E23" s="338"/>
      <c r="F23" s="338"/>
      <c r="G23" s="338"/>
      <c r="H23" s="338"/>
    </row>
    <row r="24" spans="1:14" ht="18.75">
      <c r="A24" s="335"/>
      <c r="B24" s="343"/>
    </row>
    <row r="25" spans="1:14" ht="18.75">
      <c r="A25" s="344" t="s">
        <v>1</v>
      </c>
      <c r="B25" s="343"/>
    </row>
    <row r="26" spans="1:14" ht="26.25" customHeight="1">
      <c r="A26" s="345" t="s">
        <v>4</v>
      </c>
      <c r="B26" s="563" t="s">
        <v>132</v>
      </c>
      <c r="C26" s="563"/>
    </row>
    <row r="27" spans="1:14" ht="26.25" customHeight="1">
      <c r="A27" s="346" t="s">
        <v>48</v>
      </c>
      <c r="B27" s="565" t="s">
        <v>133</v>
      </c>
      <c r="C27" s="565"/>
    </row>
    <row r="28" spans="1:14" ht="27" customHeight="1" thickBot="1">
      <c r="A28" s="346" t="s">
        <v>6</v>
      </c>
      <c r="B28" s="347">
        <v>99.3</v>
      </c>
    </row>
    <row r="29" spans="1:14" s="300" customFormat="1" ht="27" customHeight="1" thickBot="1">
      <c r="A29" s="346" t="s">
        <v>49</v>
      </c>
      <c r="B29" s="348">
        <v>0</v>
      </c>
      <c r="C29" s="566" t="s">
        <v>50</v>
      </c>
      <c r="D29" s="567"/>
      <c r="E29" s="567"/>
      <c r="F29" s="567"/>
      <c r="G29" s="568"/>
      <c r="I29" s="349"/>
      <c r="J29" s="349"/>
      <c r="K29" s="349"/>
      <c r="L29" s="349"/>
    </row>
    <row r="30" spans="1:14" s="300" customFormat="1" ht="19.5" customHeight="1" thickBot="1">
      <c r="A30" s="346" t="s">
        <v>51</v>
      </c>
      <c r="B30" s="350">
        <f>B28-B29</f>
        <v>99.3</v>
      </c>
      <c r="C30" s="351"/>
      <c r="D30" s="351"/>
      <c r="E30" s="351"/>
      <c r="F30" s="351"/>
      <c r="G30" s="352"/>
      <c r="I30" s="349"/>
      <c r="J30" s="349"/>
      <c r="K30" s="349"/>
      <c r="L30" s="349"/>
    </row>
    <row r="31" spans="1:14" s="300" customFormat="1" ht="27" customHeight="1" thickBot="1">
      <c r="A31" s="346" t="s">
        <v>52</v>
      </c>
      <c r="B31" s="353">
        <v>1</v>
      </c>
      <c r="C31" s="554" t="s">
        <v>53</v>
      </c>
      <c r="D31" s="555"/>
      <c r="E31" s="555"/>
      <c r="F31" s="555"/>
      <c r="G31" s="555"/>
      <c r="H31" s="556"/>
      <c r="I31" s="349"/>
      <c r="J31" s="349"/>
      <c r="K31" s="349"/>
      <c r="L31" s="349"/>
    </row>
    <row r="32" spans="1:14" s="300" customFormat="1" ht="27" customHeight="1" thickBot="1">
      <c r="A32" s="346" t="s">
        <v>54</v>
      </c>
      <c r="B32" s="353">
        <v>1</v>
      </c>
      <c r="C32" s="554" t="s">
        <v>55</v>
      </c>
      <c r="D32" s="555"/>
      <c r="E32" s="555"/>
      <c r="F32" s="555"/>
      <c r="G32" s="555"/>
      <c r="H32" s="556"/>
      <c r="I32" s="349"/>
      <c r="J32" s="349"/>
      <c r="K32" s="349"/>
      <c r="L32" s="354"/>
      <c r="M32" s="354"/>
      <c r="N32" s="355"/>
    </row>
    <row r="33" spans="1:14" s="300" customFormat="1" ht="17.25" customHeight="1">
      <c r="A33" s="346"/>
      <c r="B33" s="356"/>
      <c r="C33" s="357"/>
      <c r="D33" s="357"/>
      <c r="E33" s="357"/>
      <c r="F33" s="357"/>
      <c r="G33" s="357"/>
      <c r="H33" s="357"/>
      <c r="I33" s="349"/>
      <c r="J33" s="349"/>
      <c r="K33" s="349"/>
      <c r="L33" s="354"/>
      <c r="M33" s="354"/>
      <c r="N33" s="355"/>
    </row>
    <row r="34" spans="1:14" s="300" customFormat="1" ht="18.75">
      <c r="A34" s="346" t="s">
        <v>56</v>
      </c>
      <c r="B34" s="358">
        <f>B31/B32</f>
        <v>1</v>
      </c>
      <c r="C34" s="334" t="s">
        <v>57</v>
      </c>
      <c r="D34" s="334"/>
      <c r="E34" s="334"/>
      <c r="F34" s="334"/>
      <c r="G34" s="334"/>
      <c r="I34" s="349"/>
      <c r="J34" s="349"/>
      <c r="K34" s="349"/>
      <c r="L34" s="354"/>
      <c r="M34" s="354"/>
      <c r="N34" s="355"/>
    </row>
    <row r="35" spans="1:14" s="300" customFormat="1" ht="19.5" customHeight="1" thickBot="1">
      <c r="A35" s="346"/>
      <c r="B35" s="350"/>
      <c r="G35" s="334"/>
      <c r="I35" s="349"/>
      <c r="J35" s="349"/>
      <c r="K35" s="349"/>
      <c r="L35" s="354"/>
      <c r="M35" s="354"/>
      <c r="N35" s="355"/>
    </row>
    <row r="36" spans="1:14" s="300" customFormat="1" ht="27" customHeight="1" thickBot="1">
      <c r="A36" s="359" t="s">
        <v>58</v>
      </c>
      <c r="B36" s="360">
        <v>10</v>
      </c>
      <c r="C36" s="334"/>
      <c r="D36" s="569" t="s">
        <v>59</v>
      </c>
      <c r="E36" s="570"/>
      <c r="F36" s="569" t="s">
        <v>60</v>
      </c>
      <c r="G36" s="571"/>
      <c r="J36" s="349"/>
      <c r="K36" s="349"/>
      <c r="L36" s="354"/>
      <c r="M36" s="354"/>
      <c r="N36" s="355"/>
    </row>
    <row r="37" spans="1:14" s="300" customFormat="1" ht="27" customHeight="1" thickBot="1">
      <c r="A37" s="361" t="s">
        <v>61</v>
      </c>
      <c r="B37" s="362">
        <v>1</v>
      </c>
      <c r="C37" s="363" t="s">
        <v>62</v>
      </c>
      <c r="D37" s="364" t="s">
        <v>63</v>
      </c>
      <c r="E37" s="365" t="s">
        <v>64</v>
      </c>
      <c r="F37" s="364" t="s">
        <v>63</v>
      </c>
      <c r="G37" s="366" t="s">
        <v>64</v>
      </c>
      <c r="I37" s="367" t="s">
        <v>65</v>
      </c>
      <c r="J37" s="349"/>
      <c r="K37" s="349"/>
      <c r="L37" s="354"/>
      <c r="M37" s="354"/>
      <c r="N37" s="355"/>
    </row>
    <row r="38" spans="1:14" s="300" customFormat="1" ht="26.25" customHeight="1">
      <c r="A38" s="361" t="s">
        <v>66</v>
      </c>
      <c r="B38" s="362">
        <v>25</v>
      </c>
      <c r="C38" s="368">
        <v>1</v>
      </c>
      <c r="D38" s="369">
        <v>113260389</v>
      </c>
      <c r="E38" s="370">
        <f>IF(ISBLANK(D38),"-",$D$48/$D$45*D38)</f>
        <v>125707715.58144337</v>
      </c>
      <c r="F38" s="369">
        <v>109797202</v>
      </c>
      <c r="G38" s="371">
        <f>IF(ISBLANK(F38),"-",$D$48/$F$45*F38)</f>
        <v>126996018.8393795</v>
      </c>
      <c r="I38" s="372"/>
      <c r="J38" s="349"/>
      <c r="K38" s="349"/>
      <c r="L38" s="354"/>
      <c r="M38" s="354"/>
      <c r="N38" s="355"/>
    </row>
    <row r="39" spans="1:14" s="300" customFormat="1" ht="26.25" customHeight="1">
      <c r="A39" s="361" t="s">
        <v>67</v>
      </c>
      <c r="B39" s="362">
        <v>1</v>
      </c>
      <c r="C39" s="373">
        <v>2</v>
      </c>
      <c r="D39" s="374">
        <v>113702115</v>
      </c>
      <c r="E39" s="375">
        <f>IF(ISBLANK(D39),"-",$D$48/$D$45*D39)</f>
        <v>126197987.30718261</v>
      </c>
      <c r="F39" s="374">
        <v>110266027</v>
      </c>
      <c r="G39" s="376">
        <f>IF(ISBLANK(F39),"-",$D$48/$F$45*F39)</f>
        <v>127538281.36927868</v>
      </c>
      <c r="I39" s="572">
        <f>ABS((F43/D43*D42)-F42)/D42</f>
        <v>9.3530317753128776E-3</v>
      </c>
      <c r="J39" s="349"/>
      <c r="K39" s="349"/>
      <c r="L39" s="354"/>
      <c r="M39" s="354"/>
      <c r="N39" s="355"/>
    </row>
    <row r="40" spans="1:14" ht="26.25" customHeight="1">
      <c r="A40" s="361" t="s">
        <v>68</v>
      </c>
      <c r="B40" s="362">
        <v>1</v>
      </c>
      <c r="C40" s="373">
        <v>3</v>
      </c>
      <c r="D40" s="374">
        <v>113785688</v>
      </c>
      <c r="E40" s="375">
        <f>IF(ISBLANK(D40),"-",$D$48/$D$45*D40)</f>
        <v>126290744.98713626</v>
      </c>
      <c r="F40" s="374">
        <v>110101859</v>
      </c>
      <c r="G40" s="376">
        <f>IF(ISBLANK(F40),"-",$D$48/$F$45*F40)</f>
        <v>127348397.8199618</v>
      </c>
      <c r="I40" s="572"/>
      <c r="L40" s="354"/>
      <c r="M40" s="354"/>
      <c r="N40" s="334"/>
    </row>
    <row r="41" spans="1:14" ht="27" customHeight="1" thickBot="1">
      <c r="A41" s="361" t="s">
        <v>69</v>
      </c>
      <c r="B41" s="362">
        <v>1</v>
      </c>
      <c r="C41" s="377">
        <v>4</v>
      </c>
      <c r="D41" s="378"/>
      <c r="E41" s="379" t="str">
        <f>IF(ISBLANK(D41),"-",$D$48/$D$45*D41)</f>
        <v>-</v>
      </c>
      <c r="F41" s="378"/>
      <c r="G41" s="380" t="str">
        <f>IF(ISBLANK(F41),"-",$D$48/$F$45*F41)</f>
        <v>-</v>
      </c>
      <c r="I41" s="381"/>
      <c r="L41" s="354"/>
      <c r="M41" s="354"/>
      <c r="N41" s="334"/>
    </row>
    <row r="42" spans="1:14" ht="27" customHeight="1" thickBot="1">
      <c r="A42" s="361" t="s">
        <v>70</v>
      </c>
      <c r="B42" s="362">
        <v>1</v>
      </c>
      <c r="C42" s="382" t="s">
        <v>71</v>
      </c>
      <c r="D42" s="383">
        <f>AVERAGE(D38:D41)</f>
        <v>113582730.66666667</v>
      </c>
      <c r="E42" s="384">
        <f>AVERAGE(E38:E41)</f>
        <v>126065482.62525408</v>
      </c>
      <c r="F42" s="383">
        <f>AVERAGE(F38:F41)</f>
        <v>110055029.33333333</v>
      </c>
      <c r="G42" s="385">
        <f>AVERAGE(G38:G41)</f>
        <v>127294232.67620666</v>
      </c>
      <c r="H42" s="325"/>
    </row>
    <row r="43" spans="1:14" ht="26.25" customHeight="1">
      <c r="A43" s="361" t="s">
        <v>72</v>
      </c>
      <c r="B43" s="362">
        <v>1</v>
      </c>
      <c r="C43" s="386" t="s">
        <v>73</v>
      </c>
      <c r="D43" s="387">
        <v>27.22</v>
      </c>
      <c r="E43" s="334"/>
      <c r="F43" s="387">
        <v>26.12</v>
      </c>
      <c r="H43" s="325"/>
    </row>
    <row r="44" spans="1:14" ht="26.25" customHeight="1">
      <c r="A44" s="361" t="s">
        <v>74</v>
      </c>
      <c r="B44" s="362">
        <v>1</v>
      </c>
      <c r="C44" s="388" t="s">
        <v>75</v>
      </c>
      <c r="D44" s="389">
        <f>D43*$B$34</f>
        <v>27.22</v>
      </c>
      <c r="E44" s="390"/>
      <c r="F44" s="389">
        <f>F43*$B$34</f>
        <v>26.12</v>
      </c>
      <c r="H44" s="325"/>
    </row>
    <row r="45" spans="1:14" ht="19.5" customHeight="1" thickBot="1">
      <c r="A45" s="361" t="s">
        <v>76</v>
      </c>
      <c r="B45" s="373">
        <f>(B44/B43)*(B42/B41)*(B40/B39)*(B38/B37)*B36</f>
        <v>250</v>
      </c>
      <c r="C45" s="388" t="s">
        <v>77</v>
      </c>
      <c r="D45" s="391">
        <f>D44*$B$30/100</f>
        <v>27.02946</v>
      </c>
      <c r="E45" s="392"/>
      <c r="F45" s="391">
        <f>F44*$B$30/100</f>
        <v>25.937159999999999</v>
      </c>
      <c r="H45" s="325"/>
    </row>
    <row r="46" spans="1:14" ht="19.5" customHeight="1" thickBot="1">
      <c r="A46" s="573" t="s">
        <v>78</v>
      </c>
      <c r="B46" s="574"/>
      <c r="C46" s="388" t="s">
        <v>79</v>
      </c>
      <c r="D46" s="393">
        <f>D45/$B$45</f>
        <v>0.10811784000000001</v>
      </c>
      <c r="E46" s="394"/>
      <c r="F46" s="395">
        <f>F45/$B$45</f>
        <v>0.10374863999999999</v>
      </c>
      <c r="H46" s="325"/>
    </row>
    <row r="47" spans="1:14" ht="27" customHeight="1" thickBot="1">
      <c r="A47" s="575"/>
      <c r="B47" s="576"/>
      <c r="C47" s="396" t="s">
        <v>80</v>
      </c>
      <c r="D47" s="397">
        <v>0.12</v>
      </c>
      <c r="E47" s="398"/>
      <c r="F47" s="394"/>
      <c r="H47" s="325"/>
    </row>
    <row r="48" spans="1:14" ht="18.75">
      <c r="C48" s="399" t="s">
        <v>81</v>
      </c>
      <c r="D48" s="391">
        <f>D47*$B$45</f>
        <v>30</v>
      </c>
      <c r="F48" s="400"/>
      <c r="H48" s="325"/>
    </row>
    <row r="49" spans="1:12" ht="19.5" customHeight="1" thickBot="1">
      <c r="C49" s="401" t="s">
        <v>82</v>
      </c>
      <c r="D49" s="402">
        <f>D48/B34</f>
        <v>30</v>
      </c>
      <c r="F49" s="400"/>
      <c r="H49" s="325"/>
    </row>
    <row r="50" spans="1:12" ht="18.75">
      <c r="C50" s="359" t="s">
        <v>83</v>
      </c>
      <c r="D50" s="403">
        <f>AVERAGE(E38:E41,G38:G41)</f>
        <v>126679857.65073037</v>
      </c>
      <c r="F50" s="404"/>
      <c r="H50" s="325"/>
    </row>
    <row r="51" spans="1:12" ht="18.75">
      <c r="C51" s="361" t="s">
        <v>84</v>
      </c>
      <c r="D51" s="405">
        <f>STDEV(E38:E41,G38:G41)/D50</f>
        <v>5.7060097303235999E-3</v>
      </c>
      <c r="F51" s="404"/>
      <c r="H51" s="325"/>
    </row>
    <row r="52" spans="1:12" ht="19.5" customHeight="1" thickBot="1">
      <c r="C52" s="406" t="s">
        <v>20</v>
      </c>
      <c r="D52" s="407">
        <f>COUNT(E38:E41,G38:G41)</f>
        <v>6</v>
      </c>
      <c r="F52" s="404"/>
    </row>
    <row r="54" spans="1:12" ht="18.75">
      <c r="A54" s="408" t="s">
        <v>1</v>
      </c>
      <c r="B54" s="409" t="s">
        <v>85</v>
      </c>
    </row>
    <row r="55" spans="1:12" ht="18.75">
      <c r="A55" s="334" t="s">
        <v>86</v>
      </c>
      <c r="B55" s="410" t="str">
        <f>B21</f>
        <v>Each film-coated tablet contains Efavirenz 600mg</v>
      </c>
    </row>
    <row r="56" spans="1:12" ht="26.25" customHeight="1">
      <c r="A56" s="410" t="s">
        <v>87</v>
      </c>
      <c r="B56" s="411">
        <v>600</v>
      </c>
      <c r="C56" s="334" t="str">
        <f>B20</f>
        <v>EFAVIRENZ</v>
      </c>
      <c r="H56" s="390"/>
    </row>
    <row r="57" spans="1:12" ht="18.75">
      <c r="A57" s="410" t="s">
        <v>88</v>
      </c>
      <c r="B57" s="412">
        <f>Uniformity!C46</f>
        <v>1884.4805000000003</v>
      </c>
      <c r="H57" s="390"/>
    </row>
    <row r="58" spans="1:12" ht="19.5" customHeight="1" thickBot="1">
      <c r="H58" s="390"/>
    </row>
    <row r="59" spans="1:12" s="300" customFormat="1" ht="27" customHeight="1" thickBot="1">
      <c r="A59" s="359" t="s">
        <v>89</v>
      </c>
      <c r="B59" s="360">
        <v>100</v>
      </c>
      <c r="C59" s="334"/>
      <c r="D59" s="413" t="s">
        <v>90</v>
      </c>
      <c r="E59" s="414" t="s">
        <v>62</v>
      </c>
      <c r="F59" s="414" t="s">
        <v>63</v>
      </c>
      <c r="G59" s="414" t="s">
        <v>91</v>
      </c>
      <c r="H59" s="363" t="s">
        <v>92</v>
      </c>
      <c r="L59" s="349"/>
    </row>
    <row r="60" spans="1:12" s="300" customFormat="1" ht="26.25" customHeight="1">
      <c r="A60" s="361" t="s">
        <v>93</v>
      </c>
      <c r="B60" s="362">
        <v>5</v>
      </c>
      <c r="C60" s="577" t="s">
        <v>94</v>
      </c>
      <c r="D60" s="580">
        <f>Lamivudine!D60</f>
        <v>1911.98</v>
      </c>
      <c r="E60" s="415">
        <v>1</v>
      </c>
      <c r="F60" s="416">
        <v>128062396</v>
      </c>
      <c r="G60" s="417">
        <f>IF(ISBLANK(F60),"-",(F60/$D$50*$D$47*$B$68)*($B$57/$D$60))</f>
        <v>597.82436267528885</v>
      </c>
      <c r="H60" s="418">
        <f>IF(ISBLANK(F60),"-",G60/$B$56)</f>
        <v>0.99637393779214811</v>
      </c>
      <c r="L60" s="349"/>
    </row>
    <row r="61" spans="1:12" s="300" customFormat="1" ht="26.25" customHeight="1">
      <c r="A61" s="361" t="s">
        <v>95</v>
      </c>
      <c r="B61" s="362">
        <v>250</v>
      </c>
      <c r="C61" s="578"/>
      <c r="D61" s="581"/>
      <c r="E61" s="419">
        <v>2</v>
      </c>
      <c r="F61" s="374">
        <v>127975009</v>
      </c>
      <c r="G61" s="420">
        <f>IF(ISBLANK(F61),"-",(F61/$D$50*$D$47*$B$68)*($B$57/$D$60))</f>
        <v>597.41642030334447</v>
      </c>
      <c r="H61" s="421">
        <f t="shared" ref="H61:H71" si="0">IF(ISBLANK(F61),"-",G61/$B$56)</f>
        <v>0.99569403383890742</v>
      </c>
      <c r="L61" s="349"/>
    </row>
    <row r="62" spans="1:12" s="300" customFormat="1" ht="26.25" customHeight="1">
      <c r="A62" s="361" t="s">
        <v>96</v>
      </c>
      <c r="B62" s="362">
        <v>1</v>
      </c>
      <c r="C62" s="578"/>
      <c r="D62" s="581"/>
      <c r="E62" s="419">
        <v>3</v>
      </c>
      <c r="F62" s="422">
        <v>125949406</v>
      </c>
      <c r="G62" s="420">
        <f>IF(ISBLANK(F62),"-",(F62/$D$50*$D$47*$B$68)*($B$57/$D$60))</f>
        <v>587.96044524484137</v>
      </c>
      <c r="H62" s="421">
        <f t="shared" si="0"/>
        <v>0.97993407540806898</v>
      </c>
      <c r="L62" s="349"/>
    </row>
    <row r="63" spans="1:12" ht="27" customHeight="1" thickBot="1">
      <c r="A63" s="361" t="s">
        <v>97</v>
      </c>
      <c r="B63" s="362">
        <v>1</v>
      </c>
      <c r="C63" s="579"/>
      <c r="D63" s="582"/>
      <c r="E63" s="423">
        <v>4</v>
      </c>
      <c r="F63" s="424"/>
      <c r="G63" s="420" t="str">
        <f>IF(ISBLANK(F63),"-",(F63/$D$50*$D$47*$B$68)*($B$57/$D$60))</f>
        <v>-</v>
      </c>
      <c r="H63" s="421" t="str">
        <f t="shared" si="0"/>
        <v>-</v>
      </c>
    </row>
    <row r="64" spans="1:12" ht="26.25" customHeight="1">
      <c r="A64" s="361" t="s">
        <v>98</v>
      </c>
      <c r="B64" s="362">
        <v>1</v>
      </c>
      <c r="C64" s="577" t="s">
        <v>99</v>
      </c>
      <c r="D64" s="580">
        <f>Lamivudine!D64</f>
        <v>1890.42</v>
      </c>
      <c r="E64" s="415">
        <v>1</v>
      </c>
      <c r="F64" s="416">
        <v>125166505</v>
      </c>
      <c r="G64" s="425">
        <f>IF(ISBLANK(F64),"-",(F64/$D$50*$D$47*$B$68)*($B$57/$D$64))</f>
        <v>590.96961761825025</v>
      </c>
      <c r="H64" s="426">
        <f>IF(ISBLANK(F64),"-",G64/$B$56)</f>
        <v>0.98494936269708377</v>
      </c>
    </row>
    <row r="65" spans="1:8" ht="26.25" customHeight="1">
      <c r="A65" s="361" t="s">
        <v>100</v>
      </c>
      <c r="B65" s="362">
        <v>1</v>
      </c>
      <c r="C65" s="578"/>
      <c r="D65" s="581"/>
      <c r="E65" s="419">
        <v>2</v>
      </c>
      <c r="F65" s="374">
        <v>127240364</v>
      </c>
      <c r="G65" s="427">
        <f>IF(ISBLANK(F65),"-",(F65/$D$50*$D$47*$B$68)*($B$57/$D$64))</f>
        <v>600.76127601938686</v>
      </c>
      <c r="H65" s="428">
        <f t="shared" si="0"/>
        <v>1.0012687933656448</v>
      </c>
    </row>
    <row r="66" spans="1:8" ht="26.25" customHeight="1">
      <c r="A66" s="361" t="s">
        <v>101</v>
      </c>
      <c r="B66" s="362">
        <v>1</v>
      </c>
      <c r="C66" s="578"/>
      <c r="D66" s="581"/>
      <c r="E66" s="419">
        <v>3</v>
      </c>
      <c r="F66" s="374">
        <v>127018689</v>
      </c>
      <c r="G66" s="427">
        <f>IF(ISBLANK(F66),"-",(F66/$D$50*$D$47*$B$68)*($B$57/$D$64))</f>
        <v>599.71464465434622</v>
      </c>
      <c r="H66" s="428">
        <f t="shared" si="0"/>
        <v>0.99952440775724372</v>
      </c>
    </row>
    <row r="67" spans="1:8" ht="27" customHeight="1" thickBot="1">
      <c r="A67" s="361" t="s">
        <v>102</v>
      </c>
      <c r="B67" s="362">
        <v>1</v>
      </c>
      <c r="C67" s="579"/>
      <c r="D67" s="582"/>
      <c r="E67" s="423">
        <v>4</v>
      </c>
      <c r="F67" s="424"/>
      <c r="G67" s="429" t="str">
        <f>IF(ISBLANK(F67),"-",(F67/$D$50*$D$47*$B$68)*($B$57/$D$64))</f>
        <v>-</v>
      </c>
      <c r="H67" s="430" t="str">
        <f t="shared" si="0"/>
        <v>-</v>
      </c>
    </row>
    <row r="68" spans="1:8" ht="26.25" customHeight="1">
      <c r="A68" s="361" t="s">
        <v>103</v>
      </c>
      <c r="B68" s="431">
        <f>(B67/B66)*(B65/B64)*(B63/B62)*(B61/B60)*B59</f>
        <v>5000</v>
      </c>
      <c r="C68" s="577" t="s">
        <v>104</v>
      </c>
      <c r="D68" s="580">
        <f>Lamivudine!D68</f>
        <v>1913.55</v>
      </c>
      <c r="E68" s="415">
        <v>1</v>
      </c>
      <c r="F68" s="416">
        <v>127685043</v>
      </c>
      <c r="G68" s="425">
        <f>IF(ISBLANK(F68),"-",(F68/$D$50*$D$47*$B$68)*($B$57/$D$68))</f>
        <v>595.57374471956609</v>
      </c>
      <c r="H68" s="421">
        <f>IF(ISBLANK(F68),"-",G68/$B$56)</f>
        <v>0.99262290786594354</v>
      </c>
    </row>
    <row r="69" spans="1:8" ht="27" customHeight="1" thickBot="1">
      <c r="A69" s="406" t="s">
        <v>105</v>
      </c>
      <c r="B69" s="432">
        <f>(D47*B68)/B56*B57</f>
        <v>1884.4805000000003</v>
      </c>
      <c r="C69" s="578"/>
      <c r="D69" s="581"/>
      <c r="E69" s="419">
        <v>2</v>
      </c>
      <c r="F69" s="374">
        <v>130000278</v>
      </c>
      <c r="G69" s="427">
        <f>IF(ISBLANK(F69),"-",(F69/$D$50*$D$47*$B$68)*($B$57/$D$68))</f>
        <v>606.37292014730838</v>
      </c>
      <c r="H69" s="421">
        <f t="shared" si="0"/>
        <v>1.0106215335788473</v>
      </c>
    </row>
    <row r="70" spans="1:8" ht="26.25" customHeight="1">
      <c r="A70" s="585" t="s">
        <v>78</v>
      </c>
      <c r="B70" s="586"/>
      <c r="C70" s="578"/>
      <c r="D70" s="581"/>
      <c r="E70" s="419">
        <v>3</v>
      </c>
      <c r="F70" s="374">
        <v>128446547</v>
      </c>
      <c r="G70" s="427">
        <f>IF(ISBLANK(F70),"-",(F70/$D$50*$D$47*$B$68)*($B$57/$D$68))</f>
        <v>599.1257017714106</v>
      </c>
      <c r="H70" s="421">
        <f t="shared" si="0"/>
        <v>0.9985428362856843</v>
      </c>
    </row>
    <row r="71" spans="1:8" ht="27" customHeight="1" thickBot="1">
      <c r="A71" s="587"/>
      <c r="B71" s="588"/>
      <c r="C71" s="583"/>
      <c r="D71" s="582"/>
      <c r="E71" s="423">
        <v>4</v>
      </c>
      <c r="F71" s="424"/>
      <c r="G71" s="429" t="str">
        <f>IF(ISBLANK(F71),"-",(F71/$D$50*$D$47*$B$68)*($B$57/$D$68))</f>
        <v>-</v>
      </c>
      <c r="H71" s="433" t="str">
        <f t="shared" si="0"/>
        <v>-</v>
      </c>
    </row>
    <row r="72" spans="1:8" ht="26.25" customHeight="1">
      <c r="A72" s="390"/>
      <c r="B72" s="390"/>
      <c r="C72" s="390"/>
      <c r="D72" s="390"/>
      <c r="E72" s="390"/>
      <c r="F72" s="390"/>
      <c r="G72" s="434" t="s">
        <v>71</v>
      </c>
      <c r="H72" s="435">
        <f>AVERAGE(H60:H71)</f>
        <v>0.99550354317661904</v>
      </c>
    </row>
    <row r="73" spans="1:8" ht="26.25" customHeight="1">
      <c r="C73" s="390"/>
      <c r="D73" s="390"/>
      <c r="E73" s="390"/>
      <c r="F73" s="390"/>
      <c r="G73" s="436" t="s">
        <v>84</v>
      </c>
      <c r="H73" s="437">
        <f>STDEV(H60:H71)/H72</f>
        <v>9.0552003819910198E-3</v>
      </c>
    </row>
    <row r="74" spans="1:8" ht="27" customHeight="1" thickBot="1">
      <c r="A74" s="390"/>
      <c r="B74" s="390"/>
      <c r="C74" s="390"/>
      <c r="D74" s="390"/>
      <c r="E74" s="392"/>
      <c r="F74" s="390"/>
      <c r="G74" s="438" t="s">
        <v>20</v>
      </c>
      <c r="H74" s="439">
        <f>COUNT(H60:H71)</f>
        <v>9</v>
      </c>
    </row>
    <row r="76" spans="1:8" ht="26.25" customHeight="1">
      <c r="A76" s="345" t="s">
        <v>106</v>
      </c>
      <c r="B76" s="346" t="s">
        <v>107</v>
      </c>
      <c r="C76" s="589" t="str">
        <f>B20</f>
        <v>EFAVIRENZ</v>
      </c>
      <c r="D76" s="589"/>
      <c r="E76" s="334" t="s">
        <v>108</v>
      </c>
      <c r="F76" s="334"/>
      <c r="G76" s="440">
        <f>H72</f>
        <v>0.99550354317661904</v>
      </c>
      <c r="H76" s="350"/>
    </row>
    <row r="77" spans="1:8" ht="18.75">
      <c r="A77" s="344" t="s">
        <v>109</v>
      </c>
      <c r="B77" s="344" t="s">
        <v>110</v>
      </c>
    </row>
    <row r="78" spans="1:8" ht="18.75">
      <c r="A78" s="344"/>
      <c r="B78" s="344"/>
    </row>
    <row r="79" spans="1:8" ht="26.25" customHeight="1">
      <c r="A79" s="345" t="s">
        <v>4</v>
      </c>
      <c r="B79" s="584" t="str">
        <f>B26</f>
        <v>Efavirenz</v>
      </c>
      <c r="C79" s="584"/>
    </row>
    <row r="80" spans="1:8" ht="26.25" customHeight="1">
      <c r="A80" s="346" t="s">
        <v>48</v>
      </c>
      <c r="B80" s="584" t="str">
        <f>B27</f>
        <v>E15 3</v>
      </c>
      <c r="C80" s="584"/>
    </row>
    <row r="81" spans="1:12" ht="27" customHeight="1" thickBot="1">
      <c r="A81" s="346" t="s">
        <v>6</v>
      </c>
      <c r="B81" s="347">
        <f>B28</f>
        <v>99.3</v>
      </c>
    </row>
    <row r="82" spans="1:12" s="300" customFormat="1" ht="27" customHeight="1" thickBot="1">
      <c r="A82" s="346" t="s">
        <v>49</v>
      </c>
      <c r="B82" s="348">
        <v>0</v>
      </c>
      <c r="C82" s="566" t="s">
        <v>50</v>
      </c>
      <c r="D82" s="567"/>
      <c r="E82" s="567"/>
      <c r="F82" s="567"/>
      <c r="G82" s="568"/>
      <c r="I82" s="349"/>
      <c r="J82" s="349"/>
      <c r="K82" s="349"/>
      <c r="L82" s="349"/>
    </row>
    <row r="83" spans="1:12" s="300" customFormat="1" ht="19.5" customHeight="1" thickBot="1">
      <c r="A83" s="346" t="s">
        <v>51</v>
      </c>
      <c r="B83" s="350">
        <f>B81-B82</f>
        <v>99.3</v>
      </c>
      <c r="C83" s="351"/>
      <c r="D83" s="351"/>
      <c r="E83" s="351"/>
      <c r="F83" s="351"/>
      <c r="G83" s="352"/>
      <c r="I83" s="349"/>
      <c r="J83" s="349"/>
      <c r="K83" s="349"/>
      <c r="L83" s="349"/>
    </row>
    <row r="84" spans="1:12" s="300" customFormat="1" ht="27" customHeight="1" thickBot="1">
      <c r="A84" s="346" t="s">
        <v>52</v>
      </c>
      <c r="B84" s="353">
        <v>1</v>
      </c>
      <c r="C84" s="554" t="s">
        <v>111</v>
      </c>
      <c r="D84" s="555"/>
      <c r="E84" s="555"/>
      <c r="F84" s="555"/>
      <c r="G84" s="555"/>
      <c r="H84" s="556"/>
      <c r="I84" s="349"/>
      <c r="J84" s="349"/>
      <c r="K84" s="349"/>
      <c r="L84" s="349"/>
    </row>
    <row r="85" spans="1:12" s="300" customFormat="1" ht="27" customHeight="1" thickBot="1">
      <c r="A85" s="346" t="s">
        <v>54</v>
      </c>
      <c r="B85" s="353">
        <v>1</v>
      </c>
      <c r="C85" s="554" t="s">
        <v>112</v>
      </c>
      <c r="D85" s="555"/>
      <c r="E85" s="555"/>
      <c r="F85" s="555"/>
      <c r="G85" s="555"/>
      <c r="H85" s="556"/>
      <c r="I85" s="349"/>
      <c r="J85" s="349"/>
      <c r="K85" s="349"/>
      <c r="L85" s="349"/>
    </row>
    <row r="86" spans="1:12" s="300" customFormat="1" ht="18.75">
      <c r="A86" s="346"/>
      <c r="B86" s="356"/>
      <c r="C86" s="357"/>
      <c r="D86" s="357"/>
      <c r="E86" s="357"/>
      <c r="F86" s="357"/>
      <c r="G86" s="357"/>
      <c r="H86" s="357"/>
      <c r="I86" s="349"/>
      <c r="J86" s="349"/>
      <c r="K86" s="349"/>
      <c r="L86" s="349"/>
    </row>
    <row r="87" spans="1:12" s="300" customFormat="1" ht="18.75">
      <c r="A87" s="346" t="s">
        <v>56</v>
      </c>
      <c r="B87" s="358">
        <f>B84/B85</f>
        <v>1</v>
      </c>
      <c r="C87" s="334" t="s">
        <v>57</v>
      </c>
      <c r="D87" s="334"/>
      <c r="E87" s="334"/>
      <c r="F87" s="334"/>
      <c r="G87" s="334"/>
      <c r="I87" s="349"/>
      <c r="J87" s="349"/>
      <c r="K87" s="349"/>
      <c r="L87" s="349"/>
    </row>
    <row r="88" spans="1:12" ht="19.5" customHeight="1" thickBot="1">
      <c r="A88" s="344"/>
      <c r="B88" s="344"/>
    </row>
    <row r="89" spans="1:12" ht="27" customHeight="1" thickBot="1">
      <c r="A89" s="359" t="s">
        <v>58</v>
      </c>
      <c r="B89" s="360">
        <v>10</v>
      </c>
      <c r="D89" s="441" t="s">
        <v>59</v>
      </c>
      <c r="E89" s="442"/>
      <c r="F89" s="569" t="s">
        <v>60</v>
      </c>
      <c r="G89" s="571"/>
    </row>
    <row r="90" spans="1:12" ht="27" customHeight="1" thickBot="1">
      <c r="A90" s="361" t="s">
        <v>61</v>
      </c>
      <c r="B90" s="362">
        <v>4</v>
      </c>
      <c r="C90" s="443" t="s">
        <v>62</v>
      </c>
      <c r="D90" s="364" t="s">
        <v>63</v>
      </c>
      <c r="E90" s="365" t="s">
        <v>64</v>
      </c>
      <c r="F90" s="364" t="s">
        <v>63</v>
      </c>
      <c r="G90" s="444" t="s">
        <v>64</v>
      </c>
      <c r="I90" s="367" t="s">
        <v>65</v>
      </c>
    </row>
    <row r="91" spans="1:12" ht="26.25" customHeight="1">
      <c r="A91" s="361" t="s">
        <v>66</v>
      </c>
      <c r="B91" s="362">
        <v>25</v>
      </c>
      <c r="C91" s="445">
        <v>1</v>
      </c>
      <c r="D91" s="369">
        <v>229635240</v>
      </c>
      <c r="E91" s="370">
        <f>IF(ISBLANK(D91),"-",$D$101/$D$98*D91)</f>
        <v>289260362.90054393</v>
      </c>
      <c r="F91" s="369">
        <v>259627480</v>
      </c>
      <c r="G91" s="371">
        <f>IF(ISBLANK(F91),"-",$D$101/$F$98*F91)</f>
        <v>280213293.56941867</v>
      </c>
      <c r="I91" s="372"/>
    </row>
    <row r="92" spans="1:12" ht="26.25" customHeight="1">
      <c r="A92" s="361" t="s">
        <v>67</v>
      </c>
      <c r="B92" s="362">
        <v>1</v>
      </c>
      <c r="C92" s="390">
        <v>2</v>
      </c>
      <c r="D92" s="374">
        <v>229725269</v>
      </c>
      <c r="E92" s="375">
        <f>IF(ISBLANK(D92),"-",$D$101/$D$98*D92)</f>
        <v>289373768.06088245</v>
      </c>
      <c r="F92" s="374">
        <v>259812964</v>
      </c>
      <c r="G92" s="376">
        <f>IF(ISBLANK(F92),"-",$D$101/$F$98*F92)</f>
        <v>280413484.56054348</v>
      </c>
      <c r="I92" s="572">
        <f>ABS((F96/D96*D95)-F95)/D95</f>
        <v>3.7308916997368123E-2</v>
      </c>
    </row>
    <row r="93" spans="1:12" ht="26.25" customHeight="1">
      <c r="A93" s="361" t="s">
        <v>68</v>
      </c>
      <c r="B93" s="362">
        <v>1</v>
      </c>
      <c r="C93" s="390">
        <v>3</v>
      </c>
      <c r="D93" s="374">
        <v>230282745</v>
      </c>
      <c r="E93" s="375">
        <f>IF(ISBLANK(D93),"-",$D$101/$D$98*D93)</f>
        <v>290075993.51229113</v>
      </c>
      <c r="F93" s="374"/>
      <c r="G93" s="376" t="str">
        <f>IF(ISBLANK(F93),"-",$D$101/$F$98*F93)</f>
        <v>-</v>
      </c>
      <c r="I93" s="572"/>
    </row>
    <row r="94" spans="1:12" ht="27" customHeight="1" thickBot="1">
      <c r="A94" s="361" t="s">
        <v>69</v>
      </c>
      <c r="B94" s="362">
        <v>1</v>
      </c>
      <c r="C94" s="446">
        <v>4</v>
      </c>
      <c r="D94" s="378"/>
      <c r="E94" s="379" t="str">
        <f>IF(ISBLANK(D94),"-",$D$101/$D$98*D94)</f>
        <v>-</v>
      </c>
      <c r="F94" s="447"/>
      <c r="G94" s="380" t="str">
        <f>IF(ISBLANK(F94),"-",$D$101/$F$98*F94)</f>
        <v>-</v>
      </c>
      <c r="I94" s="381"/>
    </row>
    <row r="95" spans="1:12" ht="27" customHeight="1" thickBot="1">
      <c r="A95" s="361" t="s">
        <v>70</v>
      </c>
      <c r="B95" s="362">
        <v>1</v>
      </c>
      <c r="C95" s="346" t="s">
        <v>71</v>
      </c>
      <c r="D95" s="448">
        <f>AVERAGE(D91:D94)</f>
        <v>229881084.66666666</v>
      </c>
      <c r="E95" s="384">
        <f>AVERAGE(E91:E94)</f>
        <v>289570041.49123913</v>
      </c>
      <c r="F95" s="449">
        <f>AVERAGE(F91:F94)</f>
        <v>259720222</v>
      </c>
      <c r="G95" s="450">
        <f>AVERAGE(G91:G94)</f>
        <v>280313389.0649811</v>
      </c>
    </row>
    <row r="96" spans="1:12" ht="26.25" customHeight="1">
      <c r="A96" s="361" t="s">
        <v>72</v>
      </c>
      <c r="B96" s="347">
        <v>1</v>
      </c>
      <c r="C96" s="451" t="s">
        <v>113</v>
      </c>
      <c r="D96" s="452">
        <v>29.98</v>
      </c>
      <c r="E96" s="334"/>
      <c r="F96" s="387">
        <v>34.99</v>
      </c>
    </row>
    <row r="97" spans="1:10" ht="26.25" customHeight="1">
      <c r="A97" s="361" t="s">
        <v>74</v>
      </c>
      <c r="B97" s="347">
        <v>1</v>
      </c>
      <c r="C97" s="453" t="s">
        <v>114</v>
      </c>
      <c r="D97" s="454">
        <f>D96*$B$87</f>
        <v>29.98</v>
      </c>
      <c r="E97" s="390"/>
      <c r="F97" s="389">
        <f>F96*$B$87</f>
        <v>34.99</v>
      </c>
    </row>
    <row r="98" spans="1:10" ht="19.5" customHeight="1" thickBot="1">
      <c r="A98" s="361" t="s">
        <v>76</v>
      </c>
      <c r="B98" s="390">
        <f>(B97/B96)*(B95/B94)*(B93/B92)*(B91/B90)*B89</f>
        <v>62.5</v>
      </c>
      <c r="C98" s="453" t="s">
        <v>115</v>
      </c>
      <c r="D98" s="455">
        <f>D97*$B$83/100</f>
        <v>29.770140000000001</v>
      </c>
      <c r="E98" s="392"/>
      <c r="F98" s="391">
        <f>F97*$B$83/100</f>
        <v>34.745069999999998</v>
      </c>
    </row>
    <row r="99" spans="1:10" ht="19.5" customHeight="1" thickBot="1">
      <c r="A99" s="573" t="s">
        <v>78</v>
      </c>
      <c r="B99" s="590"/>
      <c r="C99" s="453" t="s">
        <v>116</v>
      </c>
      <c r="D99" s="456">
        <f>D98/$B$98</f>
        <v>0.47632224000000001</v>
      </c>
      <c r="E99" s="392"/>
      <c r="F99" s="395">
        <f>F98/$B$98</f>
        <v>0.55592111999999994</v>
      </c>
      <c r="H99" s="325"/>
    </row>
    <row r="100" spans="1:10" ht="19.5" customHeight="1" thickBot="1">
      <c r="A100" s="575"/>
      <c r="B100" s="591"/>
      <c r="C100" s="453" t="s">
        <v>80</v>
      </c>
      <c r="D100" s="457">
        <f>$B$56/$B$116</f>
        <v>0.6</v>
      </c>
      <c r="F100" s="400"/>
      <c r="G100" s="458"/>
      <c r="H100" s="325"/>
    </row>
    <row r="101" spans="1:10" ht="18.75">
      <c r="C101" s="453" t="s">
        <v>81</v>
      </c>
      <c r="D101" s="454">
        <f>D100*$B$98</f>
        <v>37.5</v>
      </c>
      <c r="F101" s="400"/>
      <c r="H101" s="325"/>
    </row>
    <row r="102" spans="1:10" ht="19.5" customHeight="1" thickBot="1">
      <c r="C102" s="459" t="s">
        <v>82</v>
      </c>
      <c r="D102" s="460">
        <f>D101/B34</f>
        <v>37.5</v>
      </c>
      <c r="F102" s="404"/>
      <c r="H102" s="325"/>
      <c r="J102" s="461"/>
    </row>
    <row r="103" spans="1:10" ht="18.75">
      <c r="C103" s="462" t="s">
        <v>117</v>
      </c>
      <c r="D103" s="463">
        <f>AVERAGE(E91:E94,G91:G94)</f>
        <v>285867380.52073592</v>
      </c>
      <c r="F103" s="404"/>
      <c r="G103" s="458"/>
      <c r="H103" s="325"/>
      <c r="J103" s="464"/>
    </row>
    <row r="104" spans="1:10" ht="18.75">
      <c r="C104" s="436" t="s">
        <v>84</v>
      </c>
      <c r="D104" s="465">
        <f>STDEV(E91:E94,G91:G94)/D103</f>
        <v>1.7771131034470838E-2</v>
      </c>
      <c r="F104" s="404"/>
      <c r="H104" s="325"/>
      <c r="J104" s="464"/>
    </row>
    <row r="105" spans="1:10" ht="19.5" customHeight="1" thickBot="1">
      <c r="C105" s="438" t="s">
        <v>20</v>
      </c>
      <c r="D105" s="466">
        <f>COUNT(E91:E94,G91:G94)</f>
        <v>5</v>
      </c>
      <c r="F105" s="404"/>
      <c r="H105" s="325"/>
      <c r="J105" s="464"/>
    </row>
    <row r="106" spans="1:10" ht="19.5" customHeight="1" thickBot="1">
      <c r="A106" s="408"/>
      <c r="B106" s="408"/>
      <c r="C106" s="408"/>
      <c r="D106" s="408"/>
      <c r="E106" s="408"/>
    </row>
    <row r="107" spans="1:10" ht="26.25" customHeight="1">
      <c r="A107" s="359" t="s">
        <v>118</v>
      </c>
      <c r="B107" s="360">
        <v>1000</v>
      </c>
      <c r="C107" s="441" t="s">
        <v>119</v>
      </c>
      <c r="D107" s="467" t="s">
        <v>63</v>
      </c>
      <c r="E107" s="468" t="s">
        <v>120</v>
      </c>
      <c r="F107" s="469" t="s">
        <v>121</v>
      </c>
    </row>
    <row r="108" spans="1:10" ht="26.25" customHeight="1">
      <c r="A108" s="361" t="s">
        <v>122</v>
      </c>
      <c r="B108" s="362">
        <v>1</v>
      </c>
      <c r="C108" s="470">
        <v>1</v>
      </c>
      <c r="D108" s="471">
        <v>271768302</v>
      </c>
      <c r="E108" s="472">
        <f t="shared" ref="E108:E112" si="1">IF(ISBLANK(D108),"-",D108/$D$103*$D$100*$B$116)</f>
        <v>570.40779155344046</v>
      </c>
      <c r="F108" s="473">
        <f>IF(ISBLANK(D108), "-", E108/$B$56)</f>
        <v>0.95067965258906739</v>
      </c>
    </row>
    <row r="109" spans="1:10" ht="26.25" customHeight="1">
      <c r="A109" s="361" t="s">
        <v>95</v>
      </c>
      <c r="B109" s="362">
        <v>1</v>
      </c>
      <c r="C109" s="470">
        <v>2</v>
      </c>
      <c r="D109" s="471">
        <v>270181517</v>
      </c>
      <c r="E109" s="474">
        <f t="shared" si="1"/>
        <v>567.07732762199896</v>
      </c>
      <c r="F109" s="475">
        <f t="shared" ref="F109:F113" si="2">IF(ISBLANK(D109), "-", E109/$B$56)</f>
        <v>0.94512887936999823</v>
      </c>
    </row>
    <row r="110" spans="1:10" ht="26.25" customHeight="1">
      <c r="A110" s="361" t="s">
        <v>96</v>
      </c>
      <c r="B110" s="362">
        <v>1</v>
      </c>
      <c r="C110" s="470">
        <v>3</v>
      </c>
      <c r="D110" s="471">
        <v>269727393</v>
      </c>
      <c r="E110" s="474">
        <f t="shared" si="1"/>
        <v>566.12417794992484</v>
      </c>
      <c r="F110" s="475">
        <f>IF(ISBLANK(D110), "-", E110/$B$56)</f>
        <v>0.94354029658320804</v>
      </c>
    </row>
    <row r="111" spans="1:10" ht="26.25" customHeight="1">
      <c r="A111" s="361" t="s">
        <v>97</v>
      </c>
      <c r="B111" s="362">
        <v>1</v>
      </c>
      <c r="C111" s="470">
        <v>4</v>
      </c>
      <c r="D111" s="471">
        <v>268371615</v>
      </c>
      <c r="E111" s="474">
        <f t="shared" si="1"/>
        <v>563.27856891779891</v>
      </c>
      <c r="F111" s="475">
        <f t="shared" si="2"/>
        <v>0.93879761486299818</v>
      </c>
    </row>
    <row r="112" spans="1:10" ht="26.25" customHeight="1">
      <c r="A112" s="361" t="s">
        <v>98</v>
      </c>
      <c r="B112" s="362">
        <v>1</v>
      </c>
      <c r="C112" s="470">
        <v>5</v>
      </c>
      <c r="D112" s="471">
        <v>268476332</v>
      </c>
      <c r="E112" s="474">
        <f t="shared" si="1"/>
        <v>563.4983568484314</v>
      </c>
      <c r="F112" s="475">
        <f>IF(ISBLANK(D112), "-", E112/$B$56)</f>
        <v>0.93916392808071902</v>
      </c>
    </row>
    <row r="113" spans="1:10" ht="26.25" customHeight="1">
      <c r="A113" s="361" t="s">
        <v>100</v>
      </c>
      <c r="B113" s="362">
        <v>1</v>
      </c>
      <c r="C113" s="476">
        <v>6</v>
      </c>
      <c r="D113" s="477">
        <v>269285368</v>
      </c>
      <c r="E113" s="478">
        <f>IF(ISBLANK(D113),"-",D113/$D$103*$D$100*$B$116)</f>
        <v>565.19642257078067</v>
      </c>
      <c r="F113" s="479">
        <f t="shared" si="2"/>
        <v>0.94199403761796774</v>
      </c>
    </row>
    <row r="114" spans="1:10" ht="26.25" customHeight="1">
      <c r="A114" s="361" t="s">
        <v>101</v>
      </c>
      <c r="B114" s="362">
        <v>1</v>
      </c>
      <c r="C114" s="470"/>
      <c r="D114" s="390"/>
      <c r="E114" s="334"/>
      <c r="F114" s="480"/>
    </row>
    <row r="115" spans="1:10" ht="26.25" customHeight="1">
      <c r="A115" s="361" t="s">
        <v>102</v>
      </c>
      <c r="B115" s="362">
        <v>1</v>
      </c>
      <c r="C115" s="470"/>
      <c r="D115" s="481"/>
      <c r="E115" s="482" t="s">
        <v>71</v>
      </c>
      <c r="F115" s="483">
        <f>AVERAGE(F108:F113)</f>
        <v>0.94321740151732636</v>
      </c>
    </row>
    <row r="116" spans="1:10" ht="27" customHeight="1" thickBot="1">
      <c r="A116" s="361" t="s">
        <v>103</v>
      </c>
      <c r="B116" s="373">
        <f>(B115/B114)*(B113/B112)*(B111/B110)*(B109/B108)*B107</f>
        <v>1000</v>
      </c>
      <c r="C116" s="484"/>
      <c r="D116" s="485"/>
      <c r="E116" s="346" t="s">
        <v>84</v>
      </c>
      <c r="F116" s="486">
        <f>STDEV(F108:F113)/F115</f>
        <v>4.6674131085023265E-3</v>
      </c>
      <c r="I116" s="334"/>
    </row>
    <row r="117" spans="1:10" ht="27" customHeight="1" thickBot="1">
      <c r="A117" s="573" t="s">
        <v>78</v>
      </c>
      <c r="B117" s="574"/>
      <c r="C117" s="487"/>
      <c r="D117" s="488"/>
      <c r="E117" s="489" t="s">
        <v>20</v>
      </c>
      <c r="F117" s="490">
        <f>COUNT(F108:F113)</f>
        <v>6</v>
      </c>
      <c r="I117" s="334"/>
      <c r="J117" s="464"/>
    </row>
    <row r="118" spans="1:10" ht="19.5" customHeight="1" thickBot="1">
      <c r="A118" s="575"/>
      <c r="B118" s="576"/>
      <c r="C118" s="334"/>
      <c r="D118" s="334"/>
      <c r="E118" s="334"/>
      <c r="F118" s="390"/>
      <c r="G118" s="334"/>
      <c r="H118" s="334"/>
      <c r="I118" s="334"/>
    </row>
    <row r="119" spans="1:10" ht="18.75">
      <c r="A119" s="491"/>
      <c r="B119" s="357"/>
      <c r="C119" s="334"/>
      <c r="D119" s="334"/>
      <c r="E119" s="334"/>
      <c r="F119" s="390"/>
      <c r="G119" s="334"/>
      <c r="H119" s="334"/>
      <c r="I119" s="334"/>
    </row>
    <row r="120" spans="1:10" ht="26.25" customHeight="1">
      <c r="A120" s="345" t="s">
        <v>106</v>
      </c>
      <c r="B120" s="346" t="s">
        <v>123</v>
      </c>
      <c r="C120" s="589" t="str">
        <f>B20</f>
        <v>EFAVIRENZ</v>
      </c>
      <c r="D120" s="589"/>
      <c r="E120" s="334" t="s">
        <v>124</v>
      </c>
      <c r="F120" s="334"/>
      <c r="G120" s="440">
        <f>F115</f>
        <v>0.94321740151732636</v>
      </c>
      <c r="H120" s="334"/>
      <c r="I120" s="334"/>
    </row>
    <row r="121" spans="1:10" ht="19.5" customHeight="1" thickBot="1">
      <c r="A121" s="492"/>
      <c r="B121" s="492"/>
      <c r="C121" s="493"/>
      <c r="D121" s="493"/>
      <c r="E121" s="493"/>
      <c r="F121" s="493"/>
      <c r="G121" s="493"/>
      <c r="H121" s="493"/>
    </row>
    <row r="122" spans="1:10" ht="18.75">
      <c r="B122" s="592" t="s">
        <v>26</v>
      </c>
      <c r="C122" s="592"/>
      <c r="E122" s="443" t="s">
        <v>27</v>
      </c>
      <c r="F122" s="494"/>
      <c r="G122" s="592" t="s">
        <v>28</v>
      </c>
      <c r="H122" s="592"/>
    </row>
    <row r="123" spans="1:10" ht="69.95" customHeight="1">
      <c r="A123" s="345" t="s">
        <v>29</v>
      </c>
      <c r="B123" s="495" t="s">
        <v>126</v>
      </c>
      <c r="C123" s="495"/>
      <c r="E123" s="499">
        <v>42303</v>
      </c>
      <c r="F123" s="334"/>
      <c r="G123" s="495"/>
      <c r="H123" s="495"/>
    </row>
    <row r="124" spans="1:10" ht="69.95" customHeight="1">
      <c r="A124" s="345" t="s">
        <v>30</v>
      </c>
      <c r="B124" s="496"/>
      <c r="C124" s="496"/>
      <c r="E124" s="496"/>
      <c r="F124" s="334"/>
      <c r="G124" s="497"/>
      <c r="H124" s="497"/>
    </row>
    <row r="125" spans="1:10" ht="18.75">
      <c r="A125" s="390"/>
      <c r="B125" s="390"/>
      <c r="C125" s="390"/>
      <c r="D125" s="390"/>
      <c r="E125" s="390"/>
      <c r="F125" s="392"/>
      <c r="G125" s="390"/>
      <c r="H125" s="390"/>
      <c r="I125" s="334"/>
    </row>
    <row r="126" spans="1:10" ht="18.75">
      <c r="A126" s="390"/>
      <c r="B126" s="390"/>
      <c r="C126" s="390"/>
      <c r="D126" s="390"/>
      <c r="E126" s="390"/>
      <c r="F126" s="392"/>
      <c r="G126" s="390"/>
      <c r="H126" s="390"/>
      <c r="I126" s="334"/>
    </row>
    <row r="127" spans="1:10" ht="18.75">
      <c r="A127" s="390"/>
      <c r="B127" s="390"/>
      <c r="C127" s="390"/>
      <c r="D127" s="390"/>
      <c r="E127" s="390"/>
      <c r="F127" s="392"/>
      <c r="G127" s="390"/>
      <c r="H127" s="390"/>
      <c r="I127" s="334"/>
    </row>
    <row r="128" spans="1:10" ht="18.75">
      <c r="A128" s="390"/>
      <c r="B128" s="390"/>
      <c r="C128" s="390"/>
      <c r="D128" s="390"/>
      <c r="E128" s="390"/>
      <c r="F128" s="392"/>
      <c r="G128" s="390"/>
      <c r="H128" s="390"/>
      <c r="I128" s="334"/>
    </row>
    <row r="129" spans="1:9" ht="18.75">
      <c r="A129" s="390"/>
      <c r="B129" s="390"/>
      <c r="C129" s="390"/>
      <c r="D129" s="390"/>
      <c r="E129" s="390"/>
      <c r="F129" s="392"/>
      <c r="G129" s="390"/>
      <c r="H129" s="390"/>
      <c r="I129" s="334"/>
    </row>
    <row r="130" spans="1:9" ht="18.75">
      <c r="A130" s="390"/>
      <c r="B130" s="390"/>
      <c r="C130" s="390"/>
      <c r="D130" s="390"/>
      <c r="E130" s="390"/>
      <c r="F130" s="392"/>
      <c r="G130" s="390"/>
      <c r="H130" s="390"/>
      <c r="I130" s="334"/>
    </row>
    <row r="131" spans="1:9" ht="18.75">
      <c r="A131" s="390"/>
      <c r="B131" s="390"/>
      <c r="C131" s="390"/>
      <c r="D131" s="390"/>
      <c r="E131" s="390"/>
      <c r="F131" s="392"/>
      <c r="G131" s="390"/>
      <c r="H131" s="390"/>
      <c r="I131" s="334"/>
    </row>
    <row r="132" spans="1:9" ht="18.75">
      <c r="A132" s="390"/>
      <c r="B132" s="390"/>
      <c r="C132" s="390"/>
      <c r="D132" s="390"/>
      <c r="E132" s="390"/>
      <c r="F132" s="392"/>
      <c r="G132" s="390"/>
      <c r="H132" s="390"/>
      <c r="I132" s="334"/>
    </row>
    <row r="133" spans="1:9" ht="18.75">
      <c r="A133" s="390"/>
      <c r="B133" s="390"/>
      <c r="C133" s="390"/>
      <c r="D133" s="390"/>
      <c r="E133" s="390"/>
      <c r="F133" s="392"/>
      <c r="G133" s="390"/>
      <c r="H133" s="390"/>
      <c r="I133" s="334"/>
    </row>
    <row r="250" spans="1:1">
      <c r="A250" s="29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</vt:lpstr>
      <vt:lpstr>Uniformity</vt:lpstr>
      <vt:lpstr>Tenofovir Disoproxil Fumarate</vt:lpstr>
      <vt:lpstr>SST (2)</vt:lpstr>
      <vt:lpstr>Lamivudine</vt:lpstr>
      <vt:lpstr>SST (3)</vt:lpstr>
      <vt:lpstr>Efavirenz</vt:lpstr>
      <vt:lpstr>Efavirenz!Print_Area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2015-11-16T10:34:26Z</cp:lastPrinted>
  <dcterms:created xsi:type="dcterms:W3CDTF">2005-07-05T10:19:27Z</dcterms:created>
  <dcterms:modified xsi:type="dcterms:W3CDTF">2015-11-16T11:03:40Z</dcterms:modified>
</cp:coreProperties>
</file>