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2" r:id="rId2"/>
    <sheet name="Tenofovir Disoproxil Fumarate" sheetId="3" r:id="rId3"/>
    <sheet name="SST (2)" sheetId="4" r:id="rId4"/>
    <sheet name="Lamivudine" sheetId="5" r:id="rId5"/>
  </sheets>
  <definedNames>
    <definedName name="_xlnm.Print_Area" localSheetId="4">Lamivudine!$A$1:$N$126</definedName>
    <definedName name="_xlnm.Print_Area" localSheetId="2">'Tenofovir Disoproxil Fumarate'!$A$1:$I$127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F30" i="1" l="1"/>
  <c r="E30" i="1"/>
  <c r="D30" i="1"/>
  <c r="C30" i="1"/>
  <c r="B30" i="1"/>
  <c r="B21" i="1"/>
  <c r="E41" i="3"/>
  <c r="E40" i="3"/>
  <c r="E39" i="3"/>
  <c r="E38" i="3"/>
  <c r="E94" i="3"/>
  <c r="E93" i="3"/>
  <c r="E92" i="3"/>
  <c r="E91" i="3"/>
  <c r="E41" i="5"/>
  <c r="E40" i="5"/>
  <c r="E39" i="5"/>
  <c r="E38" i="5"/>
  <c r="E94" i="5"/>
  <c r="E93" i="5"/>
  <c r="E92" i="5"/>
  <c r="E91" i="5"/>
  <c r="B21" i="4" l="1"/>
  <c r="B20" i="4"/>
  <c r="B45" i="5" l="1"/>
  <c r="B30" i="5" l="1"/>
  <c r="B87" i="5" l="1"/>
  <c r="D68" i="5" l="1"/>
  <c r="D64" i="5"/>
  <c r="D60" i="5"/>
  <c r="D48" i="5"/>
  <c r="G38" i="5" s="1"/>
  <c r="C120" i="5"/>
  <c r="B116" i="5"/>
  <c r="D100" i="5" s="1"/>
  <c r="B98" i="5"/>
  <c r="F95" i="5"/>
  <c r="D95" i="5"/>
  <c r="F97" i="5"/>
  <c r="B81" i="5"/>
  <c r="B83" i="5" s="1"/>
  <c r="B80" i="5"/>
  <c r="B79" i="5"/>
  <c r="C76" i="5"/>
  <c r="B68" i="5"/>
  <c r="C56" i="5"/>
  <c r="B55" i="5"/>
  <c r="F42" i="5"/>
  <c r="D42" i="5"/>
  <c r="G41" i="5"/>
  <c r="B34" i="5"/>
  <c r="F44" i="5" s="1"/>
  <c r="F45" i="5" s="1"/>
  <c r="B34" i="3"/>
  <c r="B53" i="4"/>
  <c r="E51" i="4"/>
  <c r="D51" i="4"/>
  <c r="C51" i="4"/>
  <c r="B51" i="4"/>
  <c r="B52" i="4" s="1"/>
  <c r="B42" i="4"/>
  <c r="B41" i="4"/>
  <c r="B40" i="4"/>
  <c r="B39" i="4"/>
  <c r="B32" i="4"/>
  <c r="E30" i="4"/>
  <c r="D30" i="4"/>
  <c r="C30" i="4"/>
  <c r="B30" i="4"/>
  <c r="B31" i="4" s="1"/>
  <c r="B42" i="1"/>
  <c r="B41" i="1"/>
  <c r="B40" i="1"/>
  <c r="B39" i="1"/>
  <c r="I92" i="5" l="1"/>
  <c r="D101" i="5"/>
  <c r="D102" i="5" s="1"/>
  <c r="F46" i="5"/>
  <c r="I39" i="5"/>
  <c r="G39" i="5"/>
  <c r="G40" i="5"/>
  <c r="D49" i="5"/>
  <c r="F98" i="5"/>
  <c r="G94" i="5"/>
  <c r="D44" i="5"/>
  <c r="D45" i="5" s="1"/>
  <c r="D97" i="5"/>
  <c r="D98" i="5" s="1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F44" i="3"/>
  <c r="B30" i="3"/>
  <c r="C46" i="2"/>
  <c r="D50" i="2" s="1"/>
  <c r="C45" i="2"/>
  <c r="B53" i="1"/>
  <c r="E51" i="1"/>
  <c r="D51" i="1"/>
  <c r="C51" i="1"/>
  <c r="B51" i="1"/>
  <c r="B52" i="1" s="1"/>
  <c r="B32" i="1"/>
  <c r="B31" i="1"/>
  <c r="D46" i="5" l="1"/>
  <c r="D30" i="2"/>
  <c r="D37" i="2"/>
  <c r="D25" i="2"/>
  <c r="D38" i="2"/>
  <c r="D29" i="2"/>
  <c r="D33" i="2"/>
  <c r="D41" i="2"/>
  <c r="B49" i="2"/>
  <c r="D26" i="2"/>
  <c r="D34" i="2"/>
  <c r="D42" i="2"/>
  <c r="B57" i="3"/>
  <c r="B69" i="3" s="1"/>
  <c r="B57" i="5"/>
  <c r="G38" i="3"/>
  <c r="G91" i="5"/>
  <c r="G93" i="5"/>
  <c r="G92" i="5"/>
  <c r="F97" i="3"/>
  <c r="F98" i="3" s="1"/>
  <c r="F99" i="5"/>
  <c r="D99" i="5"/>
  <c r="I92" i="3"/>
  <c r="D101" i="3"/>
  <c r="G42" i="5"/>
  <c r="I39" i="3"/>
  <c r="D44" i="3"/>
  <c r="F45" i="3"/>
  <c r="D49" i="3"/>
  <c r="D45" i="3"/>
  <c r="D98" i="3"/>
  <c r="C50" i="2"/>
  <c r="D35" i="2"/>
  <c r="D27" i="2"/>
  <c r="D31" i="2"/>
  <c r="D39" i="2"/>
  <c r="D43" i="2"/>
  <c r="C49" i="2"/>
  <c r="D24" i="2"/>
  <c r="D28" i="2"/>
  <c r="D32" i="2"/>
  <c r="D36" i="2"/>
  <c r="D40" i="2"/>
  <c r="D49" i="2"/>
  <c r="G60" i="5" l="1"/>
  <c r="H60" i="5" s="1"/>
  <c r="G61" i="5"/>
  <c r="H61" i="5" s="1"/>
  <c r="B69" i="5"/>
  <c r="G95" i="5"/>
  <c r="G91" i="3"/>
  <c r="D102" i="3"/>
  <c r="G92" i="3"/>
  <c r="F99" i="3"/>
  <c r="G93" i="3"/>
  <c r="G94" i="3"/>
  <c r="G39" i="3"/>
  <c r="D46" i="3"/>
  <c r="E42" i="5"/>
  <c r="D52" i="5"/>
  <c r="D50" i="5"/>
  <c r="G65" i="5" s="1"/>
  <c r="H65" i="5" s="1"/>
  <c r="E95" i="5"/>
  <c r="D105" i="5"/>
  <c r="D103" i="5"/>
  <c r="F46" i="3"/>
  <c r="G41" i="3"/>
  <c r="G40" i="3"/>
  <c r="D99" i="3"/>
  <c r="G42" i="3" l="1"/>
  <c r="G95" i="3"/>
  <c r="G70" i="5"/>
  <c r="H70" i="5" s="1"/>
  <c r="G66" i="5"/>
  <c r="H66" i="5" s="1"/>
  <c r="G64" i="5"/>
  <c r="H64" i="5" s="1"/>
  <c r="G67" i="5"/>
  <c r="H67" i="5" s="1"/>
  <c r="G68" i="5"/>
  <c r="H68" i="5" s="1"/>
  <c r="D51" i="5"/>
  <c r="G69" i="5"/>
  <c r="H69" i="5" s="1"/>
  <c r="G63" i="5"/>
  <c r="H63" i="5" s="1"/>
  <c r="G62" i="5"/>
  <c r="H62" i="5" s="1"/>
  <c r="G71" i="5"/>
  <c r="H71" i="5" s="1"/>
  <c r="E112" i="5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D52" i="3"/>
  <c r="E42" i="3"/>
  <c r="D50" i="3"/>
  <c r="G65" i="3" s="1"/>
  <c r="H65" i="3" s="1"/>
  <c r="D103" i="3"/>
  <c r="E95" i="3"/>
  <c r="D105" i="3"/>
  <c r="D51" i="3" l="1"/>
  <c r="E108" i="3"/>
  <c r="F108" i="3" s="1"/>
  <c r="H74" i="5"/>
  <c r="H72" i="5"/>
  <c r="G76" i="5" s="1"/>
  <c r="F115" i="5"/>
  <c r="G120" i="5" s="1"/>
  <c r="F117" i="5"/>
  <c r="G67" i="3"/>
  <c r="H67" i="3" s="1"/>
  <c r="G60" i="3"/>
  <c r="H60" i="3" s="1"/>
  <c r="G69" i="3"/>
  <c r="H69" i="3" s="1"/>
  <c r="G71" i="3"/>
  <c r="H71" i="3" s="1"/>
  <c r="G70" i="3"/>
  <c r="H70" i="3" s="1"/>
  <c r="G62" i="3"/>
  <c r="H62" i="3" s="1"/>
  <c r="G64" i="3"/>
  <c r="H64" i="3" s="1"/>
  <c r="G68" i="3"/>
  <c r="H68" i="3" s="1"/>
  <c r="G61" i="3"/>
  <c r="H61" i="3" s="1"/>
  <c r="G66" i="3"/>
  <c r="H66" i="3" s="1"/>
  <c r="G63" i="3"/>
  <c r="H63" i="3" s="1"/>
  <c r="E112" i="3"/>
  <c r="F112" i="3" s="1"/>
  <c r="E110" i="3"/>
  <c r="F110" i="3" s="1"/>
  <c r="E113" i="3"/>
  <c r="F113" i="3" s="1"/>
  <c r="E111" i="3"/>
  <c r="F111" i="3" s="1"/>
  <c r="E109" i="3"/>
  <c r="F109" i="3" s="1"/>
  <c r="D104" i="3"/>
  <c r="H73" i="5" l="1"/>
  <c r="F116" i="5"/>
  <c r="H72" i="3"/>
  <c r="G76" i="3" s="1"/>
  <c r="H74" i="3"/>
  <c r="F115" i="3"/>
  <c r="G120" i="3" s="1"/>
  <c r="F117" i="3"/>
  <c r="H73" i="3" l="1"/>
  <c r="F116" i="3"/>
</calcChain>
</file>

<file path=xl/sharedStrings.xml><?xml version="1.0" encoding="utf-8"?>
<sst xmlns="http://schemas.openxmlformats.org/spreadsheetml/2006/main" count="440" uniqueCount="130">
  <si>
    <t>HPLC System Suitability Report</t>
  </si>
  <si>
    <t>Analysis Data</t>
  </si>
  <si>
    <t>Assay</t>
  </si>
  <si>
    <t>Sample(s)</t>
  </si>
  <si>
    <t>Reference Substance:</t>
  </si>
  <si>
    <t>Lamivudine 300mg and Tenofovir Disoproxil Fumarate 300mg Tablets</t>
  </si>
  <si>
    <t>% age Purity:</t>
  </si>
  <si>
    <t>NDQD201508135</t>
  </si>
  <si>
    <t>Weight (mg):</t>
  </si>
  <si>
    <t>Lamivudine and Tenofovir Disoproxil Fumarate</t>
  </si>
  <si>
    <t>Standard Conc (mg/mL):</t>
  </si>
  <si>
    <t>Each film coated  tablet contains Lamivudine USP 300mg and Tenofovir Disoproxil Fumarate 300mg equivalent to Tenofovir Disproxil 245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</si>
  <si>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</si>
  <si>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</si>
  <si>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</si>
  <si>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</si>
  <si>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</si>
  <si>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</si>
  <si>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</si>
  <si>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</si>
  <si>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</si>
  <si>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</si>
  <si>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</si>
  <si>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</si>
  <si>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</si>
  <si>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</si>
  <si>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</si>
  <si>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</si>
  <si>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</si>
  <si>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</si>
  <si>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</si>
  <si>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</si>
  <si>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</si>
  <si>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</si>
  <si>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</si>
  <si>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</si>
  <si>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</si>
  <si>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</si>
  <si>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</si>
  <si>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</si>
  <si>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</si>
  <si>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</si>
  <si>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</si>
  <si>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</si>
  <si>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</si>
  <si>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</si>
  <si>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</si>
  <si>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</si>
  <si>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</si>
  <si>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</si>
  <si>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</si>
  <si>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</si>
  <si>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</si>
  <si>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</si>
  <si>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</si>
  <si>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</si>
  <si>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</si>
  <si>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</si>
  <si>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</si>
  <si>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</si>
  <si>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</si>
  <si>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</si>
  <si>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</si>
  <si>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</si>
  <si>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</si>
  <si>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</si>
  <si>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</si>
  <si>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</si>
  <si>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</si>
  <si>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</si>
  <si>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</si>
  <si>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</si>
  <si>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</si>
  <si>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</si>
  <si>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</si>
  <si>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</si>
  <si>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</si>
  <si>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</si>
  <si>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</si>
  <si>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</si>
  <si>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</si>
  <si>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</si>
  <si>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</si>
  <si>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</si>
  <si>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</si>
  <si>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</si>
  <si>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</si>
  <si>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</si>
  <si>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</si>
  <si>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</si>
  <si>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</si>
  <si>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</si>
  <si>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</si>
  <si>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</si>
  <si>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</si>
  <si>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</si>
  <si>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</si>
  <si>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</si>
  <si>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</si>
  <si>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</si>
  <si>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</si>
  <si>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</si>
  <si>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</si>
  <si>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</si>
  <si>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</si>
  <si>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</si>
  <si>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</si>
  <si>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</si>
  <si>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</si>
  <si>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</si>
  <si>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</si>
  <si>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</si>
  <si>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</si>
  <si>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</si>
  <si>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</si>
  <si>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</si>
  <si>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</si>
  <si>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</si>
  <si>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</si>
  <si>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</si>
  <si>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</si>
  <si>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</si>
  <si>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</si>
  <si>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</si>
  <si>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 Disoproxil Fumarate</t>
  </si>
  <si>
    <t>Bugigi</t>
  </si>
  <si>
    <t>Lamivudine</t>
  </si>
  <si>
    <t>T11 5</t>
  </si>
  <si>
    <t>NDQD201508096</t>
  </si>
  <si>
    <t>NQCL-WRS-L3-6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</si>
</sst>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4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14" fontId="2" fillId="2" borderId="7" xfId="0" applyNumberFormat="1" applyFont="1" applyFill="1" applyBorder="1"/>
    <xf numFmtId="14" fontId="6" fillId="2" borderId="7" xfId="0" applyNumberFormat="1" applyFont="1" applyFill="1" applyBorder="1"/>
    <xf numFmtId="14" fontId="11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73" fontId="2" fillId="2" borderId="0" xfId="0" applyNumberFormat="1" applyFont="1" applyFill="1"/>
    <xf numFmtId="173" fontId="5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B21" zoomScaleNormal="100" zoomScaleSheetLayoutView="100" workbookViewId="0">
      <selection activeCell="E38" sqref="E38"/>
    </sheetView>
  </sheetViews>
  <sheetFormatPr defaultRowHeight="13.5"/>
  <cols>
    <col min="1" max="1" width="27.5703125" style="4" customWidth="1"/>
    <col min="2" max="2" width="34.285156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292" t="s">
        <v>0</v>
      </c>
      <c r="B15" s="292"/>
      <c r="C15" s="292"/>
      <c r="D15" s="292"/>
      <c r="E15" s="292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 t="s">
        <v>5</v>
      </c>
      <c r="D17" s="9"/>
      <c r="E17" s="10"/>
    </row>
    <row r="18" spans="1:6" ht="16.5" customHeight="1">
      <c r="A18" s="11" t="s">
        <v>4</v>
      </c>
      <c r="B18" s="12" t="s">
        <v>124</v>
      </c>
      <c r="C18" s="10"/>
      <c r="D18" s="10"/>
      <c r="E18" s="10"/>
    </row>
    <row r="19" spans="1:6" ht="16.5" customHeight="1">
      <c r="A19" s="11" t="s">
        <v>6</v>
      </c>
      <c r="B19" s="12">
        <v>99.2</v>
      </c>
      <c r="C19" s="72"/>
      <c r="D19" s="72"/>
      <c r="E19" s="72"/>
      <c r="F19" s="227"/>
    </row>
    <row r="20" spans="1:6" ht="16.5" customHeight="1">
      <c r="A20" s="7" t="s">
        <v>8</v>
      </c>
      <c r="B20" s="9">
        <v>12.45</v>
      </c>
      <c r="C20" s="72"/>
      <c r="D20" s="72"/>
      <c r="E20" s="72"/>
      <c r="F20" s="227"/>
    </row>
    <row r="21" spans="1:6" ht="16.5" customHeight="1">
      <c r="A21" s="7" t="s">
        <v>10</v>
      </c>
      <c r="B21" s="13">
        <f>B20/10*1/25</f>
        <v>4.9799999999999997E-2</v>
      </c>
      <c r="C21" s="72"/>
      <c r="D21" s="72"/>
      <c r="E21" s="72"/>
      <c r="F21" s="227"/>
    </row>
    <row r="22" spans="1:6" ht="15.75" customHeight="1">
      <c r="A22" s="10"/>
      <c r="B22" s="72"/>
      <c r="C22" s="72"/>
      <c r="D22" s="72"/>
      <c r="E22" s="72"/>
      <c r="F22" s="227"/>
    </row>
    <row r="23" spans="1:6" ht="16.5" customHeight="1">
      <c r="A23" s="14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  <c r="F23" s="227"/>
    </row>
    <row r="24" spans="1:6" ht="16.5" customHeight="1">
      <c r="A24" s="17">
        <v>1</v>
      </c>
      <c r="B24" s="18">
        <v>33274735</v>
      </c>
      <c r="C24" s="18">
        <v>94567.2</v>
      </c>
      <c r="D24" s="19">
        <v>1.1000000000000001</v>
      </c>
      <c r="E24" s="20">
        <v>7.9690000000000003</v>
      </c>
      <c r="F24" s="341">
        <v>28.2136</v>
      </c>
    </row>
    <row r="25" spans="1:6" ht="16.5" customHeight="1">
      <c r="A25" s="17">
        <v>2</v>
      </c>
      <c r="B25" s="18">
        <v>33192610</v>
      </c>
      <c r="C25" s="18">
        <v>95216.1</v>
      </c>
      <c r="D25" s="19">
        <v>1</v>
      </c>
      <c r="E25" s="19">
        <v>7.9740000000000002</v>
      </c>
      <c r="F25" s="341">
        <v>28.265370000000001</v>
      </c>
    </row>
    <row r="26" spans="1:6" ht="16.5" customHeight="1">
      <c r="A26" s="17">
        <v>3</v>
      </c>
      <c r="B26" s="18">
        <v>33348917</v>
      </c>
      <c r="C26" s="18">
        <v>95409.4</v>
      </c>
      <c r="D26" s="19">
        <v>1.1000000000000001</v>
      </c>
      <c r="E26" s="19">
        <v>7.9740000000000002</v>
      </c>
      <c r="F26" s="341">
        <v>28.22626</v>
      </c>
    </row>
    <row r="27" spans="1:6" ht="16.5" customHeight="1">
      <c r="A27" s="17">
        <v>4</v>
      </c>
      <c r="B27" s="18">
        <v>33318901</v>
      </c>
      <c r="C27" s="18">
        <v>95184.3</v>
      </c>
      <c r="D27" s="19">
        <v>1.1000000000000001</v>
      </c>
      <c r="E27" s="19">
        <v>7.9740000000000002</v>
      </c>
      <c r="F27" s="341">
        <v>27.768380000000001</v>
      </c>
    </row>
    <row r="28" spans="1:6" ht="16.5" customHeight="1">
      <c r="A28" s="17">
        <v>5</v>
      </c>
      <c r="B28" s="18">
        <v>33353310</v>
      </c>
      <c r="C28" s="18">
        <v>95361.5</v>
      </c>
      <c r="D28" s="19">
        <v>1.1000000000000001</v>
      </c>
      <c r="E28" s="19">
        <v>7.9740000000000002</v>
      </c>
      <c r="F28" s="341">
        <v>28.119420000000002</v>
      </c>
    </row>
    <row r="29" spans="1:6" ht="16.5" customHeight="1">
      <c r="A29" s="17">
        <v>6</v>
      </c>
      <c r="B29" s="21">
        <v>33294673</v>
      </c>
      <c r="C29" s="21">
        <v>96181</v>
      </c>
      <c r="D29" s="22">
        <v>1.1000000000000001</v>
      </c>
      <c r="E29" s="22">
        <v>7.9740000000000002</v>
      </c>
      <c r="F29" s="341">
        <v>27.911020000000001</v>
      </c>
    </row>
    <row r="30" spans="1:6" ht="16.5" customHeight="1">
      <c r="A30" s="23" t="s">
        <v>17</v>
      </c>
      <c r="B30" s="24">
        <f>AVERAGE(B24:B29)</f>
        <v>33297191</v>
      </c>
      <c r="C30" s="25">
        <f>AVERAGE(C24:C29)</f>
        <v>95319.916666666672</v>
      </c>
      <c r="D30" s="26">
        <f>AVERAGE(D24:D29)</f>
        <v>1.0833333333333333</v>
      </c>
      <c r="E30" s="342">
        <f>AVERAGE(E24:E29)</f>
        <v>7.9731666666666667</v>
      </c>
      <c r="F30" s="342">
        <f>AVERAGE(F24:F29)</f>
        <v>28.084008333333333</v>
      </c>
    </row>
    <row r="31" spans="1:6" ht="16.5" customHeight="1">
      <c r="A31" s="27" t="s">
        <v>18</v>
      </c>
      <c r="B31" s="28">
        <f>(STDEV(B24:B29)/B30)</f>
        <v>1.7890961990938022E-3</v>
      </c>
      <c r="C31" s="29"/>
      <c r="D31" s="29"/>
      <c r="E31" s="30"/>
      <c r="F31" s="2"/>
    </row>
    <row r="32" spans="1:6" s="2" customFormat="1" ht="16.5" customHeight="1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20</v>
      </c>
      <c r="B34" s="37" t="s">
        <v>21</v>
      </c>
      <c r="C34" s="38"/>
      <c r="D34" s="38"/>
      <c r="E34" s="39"/>
    </row>
    <row r="35" spans="1:6" ht="16.5" customHeight="1">
      <c r="A35" s="11"/>
      <c r="B35" s="37" t="s">
        <v>22</v>
      </c>
      <c r="C35" s="38"/>
      <c r="D35" s="38"/>
      <c r="E35" s="39"/>
      <c r="F35" s="2"/>
    </row>
    <row r="36" spans="1:6" ht="16.5" customHeight="1">
      <c r="A36" s="11"/>
      <c r="B36" s="40" t="s">
        <v>23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24</v>
      </c>
    </row>
    <row r="39" spans="1:6" ht="16.5" customHeight="1">
      <c r="A39" s="11" t="s">
        <v>4</v>
      </c>
      <c r="B39" s="288" t="str">
        <f>B18</f>
        <v>Tenofovir Disoproxil Fumarate</v>
      </c>
      <c r="C39" s="10"/>
      <c r="D39" s="10"/>
      <c r="E39" s="10"/>
    </row>
    <row r="40" spans="1:6" ht="16.5" customHeight="1">
      <c r="A40" s="11" t="s">
        <v>6</v>
      </c>
      <c r="B40" s="12">
        <f>B19</f>
        <v>99.2</v>
      </c>
      <c r="C40" s="10"/>
      <c r="D40" s="10"/>
      <c r="E40" s="10"/>
    </row>
    <row r="41" spans="1:6" ht="16.5" customHeight="1">
      <c r="A41" s="7" t="s">
        <v>8</v>
      </c>
      <c r="B41" s="12">
        <f>B20</f>
        <v>12.45</v>
      </c>
      <c r="C41" s="10"/>
      <c r="D41" s="10"/>
      <c r="E41" s="10"/>
    </row>
    <row r="42" spans="1:6" ht="16.5" customHeight="1">
      <c r="A42" s="7" t="s">
        <v>10</v>
      </c>
      <c r="B42" s="13">
        <f>B21</f>
        <v>4.9799999999999997E-2</v>
      </c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>
      <c r="A45" s="17">
        <v>1</v>
      </c>
      <c r="B45" s="18">
        <v>33274735</v>
      </c>
      <c r="C45" s="18">
        <v>94567.2</v>
      </c>
      <c r="D45" s="19">
        <v>1.1000000000000001</v>
      </c>
      <c r="E45" s="20">
        <v>7.9</v>
      </c>
    </row>
    <row r="46" spans="1:6" ht="16.5" customHeight="1">
      <c r="A46" s="17">
        <v>2</v>
      </c>
      <c r="B46" s="18">
        <v>33192610</v>
      </c>
      <c r="C46" s="18">
        <v>95216.1</v>
      </c>
      <c r="D46" s="19">
        <v>1</v>
      </c>
      <c r="E46" s="19">
        <v>7.9</v>
      </c>
    </row>
    <row r="47" spans="1:6" ht="16.5" customHeight="1">
      <c r="A47" s="17">
        <v>3</v>
      </c>
      <c r="B47" s="18">
        <v>33348917</v>
      </c>
      <c r="C47" s="18">
        <v>95409.4</v>
      </c>
      <c r="D47" s="19">
        <v>1.1000000000000001</v>
      </c>
      <c r="E47" s="19">
        <v>7.9</v>
      </c>
    </row>
    <row r="48" spans="1:6" ht="16.5" customHeight="1">
      <c r="A48" s="17">
        <v>4</v>
      </c>
      <c r="B48" s="18">
        <v>33318901</v>
      </c>
      <c r="C48" s="18">
        <v>95184.3</v>
      </c>
      <c r="D48" s="19">
        <v>1.1000000000000001</v>
      </c>
      <c r="E48" s="19">
        <v>7.9</v>
      </c>
    </row>
    <row r="49" spans="1:7" ht="16.5" customHeight="1">
      <c r="A49" s="17">
        <v>5</v>
      </c>
      <c r="B49" s="18">
        <v>33353310</v>
      </c>
      <c r="C49" s="18">
        <v>95361.5</v>
      </c>
      <c r="D49" s="19">
        <v>1.1000000000000001</v>
      </c>
      <c r="E49" s="19">
        <v>7.9</v>
      </c>
    </row>
    <row r="50" spans="1:7" ht="16.5" customHeight="1">
      <c r="A50" s="17">
        <v>6</v>
      </c>
      <c r="B50" s="21">
        <v>33294673</v>
      </c>
      <c r="C50" s="21">
        <v>96181</v>
      </c>
      <c r="D50" s="22">
        <v>1.1000000000000001</v>
      </c>
      <c r="E50" s="22">
        <v>7.9</v>
      </c>
    </row>
    <row r="51" spans="1:7" ht="16.5" customHeight="1">
      <c r="A51" s="23" t="s">
        <v>17</v>
      </c>
      <c r="B51" s="24">
        <f>AVERAGE(B45:B50)</f>
        <v>33297191</v>
      </c>
      <c r="C51" s="25">
        <f>AVERAGE(C45:C50)</f>
        <v>95319.916666666672</v>
      </c>
      <c r="D51" s="26">
        <f>AVERAGE(D45:D50)</f>
        <v>1.0833333333333333</v>
      </c>
      <c r="E51" s="26">
        <f>AVERAGE(E45:E50)</f>
        <v>7.8999999999999995</v>
      </c>
    </row>
    <row r="52" spans="1:7" ht="16.5" customHeight="1">
      <c r="A52" s="27" t="s">
        <v>18</v>
      </c>
      <c r="B52" s="28">
        <f>(STDEV(B45:B50)/B51)</f>
        <v>1.7890961990938022E-3</v>
      </c>
      <c r="C52" s="29"/>
      <c r="D52" s="29"/>
      <c r="E52" s="30"/>
      <c r="F52" s="2"/>
    </row>
    <row r="53" spans="1:7" s="2" customFormat="1" ht="16.5" customHeight="1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20</v>
      </c>
      <c r="B55" s="37" t="s">
        <v>21</v>
      </c>
      <c r="C55" s="38"/>
      <c r="D55" s="38"/>
      <c r="E55" s="39"/>
    </row>
    <row r="56" spans="1:7" ht="16.5" customHeight="1">
      <c r="A56" s="11"/>
      <c r="B56" s="37" t="s">
        <v>22</v>
      </c>
      <c r="C56" s="38"/>
      <c r="D56" s="38"/>
      <c r="E56" s="39"/>
      <c r="F56" s="2"/>
    </row>
    <row r="57" spans="1:7" ht="16.5" customHeight="1">
      <c r="A57" s="11"/>
      <c r="B57" s="40" t="s">
        <v>23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293" t="s">
        <v>25</v>
      </c>
      <c r="C59" s="293"/>
      <c r="E59" s="45" t="s">
        <v>26</v>
      </c>
      <c r="F59" s="46"/>
      <c r="G59" s="45" t="s">
        <v>27</v>
      </c>
    </row>
    <row r="60" spans="1:7" ht="15" customHeight="1">
      <c r="A60" s="47" t="s">
        <v>28</v>
      </c>
      <c r="B60" s="48" t="s">
        <v>125</v>
      </c>
      <c r="C60" s="48"/>
      <c r="E60" s="289">
        <v>42298</v>
      </c>
      <c r="F60" s="2"/>
      <c r="G60" s="49"/>
    </row>
    <row r="61" spans="1:7" ht="15" customHeight="1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54" sqref="D54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297" t="s">
        <v>30</v>
      </c>
      <c r="B11" s="298"/>
      <c r="C11" s="298"/>
      <c r="D11" s="298"/>
      <c r="E11" s="298"/>
      <c r="F11" s="299"/>
      <c r="G11" s="91"/>
    </row>
    <row r="12" spans="1:7" ht="16.5" customHeight="1">
      <c r="A12" s="296" t="s">
        <v>31</v>
      </c>
      <c r="B12" s="296"/>
      <c r="C12" s="296"/>
      <c r="D12" s="296"/>
      <c r="E12" s="296"/>
      <c r="F12" s="296"/>
      <c r="G12" s="90"/>
    </row>
    <row r="14" spans="1:7" ht="16.5" customHeight="1">
      <c r="A14" s="301" t="s">
        <v>32</v>
      </c>
      <c r="B14" s="301"/>
      <c r="C14" s="60" t="s">
        <v>5</v>
      </c>
    </row>
    <row r="15" spans="1:7" ht="16.5" customHeight="1">
      <c r="A15" s="301" t="s">
        <v>33</v>
      </c>
      <c r="B15" s="301"/>
      <c r="C15" s="60" t="s">
        <v>128</v>
      </c>
    </row>
    <row r="16" spans="1:7" ht="16.5" customHeight="1">
      <c r="A16" s="301" t="s">
        <v>34</v>
      </c>
      <c r="B16" s="301"/>
      <c r="C16" s="60" t="s">
        <v>9</v>
      </c>
    </row>
    <row r="17" spans="1:5" ht="16.5" customHeight="1">
      <c r="A17" s="301" t="s">
        <v>35</v>
      </c>
      <c r="B17" s="301"/>
      <c r="C17" s="60" t="s">
        <v>11</v>
      </c>
    </row>
    <row r="18" spans="1:5" ht="16.5" customHeight="1">
      <c r="A18" s="301" t="s">
        <v>36</v>
      </c>
      <c r="B18" s="301"/>
      <c r="C18" s="97">
        <v>42259</v>
      </c>
    </row>
    <row r="19" spans="1:5" ht="16.5" customHeight="1">
      <c r="A19" s="301" t="s">
        <v>37</v>
      </c>
      <c r="B19" s="301"/>
      <c r="C19" s="97">
        <v>42298</v>
      </c>
    </row>
    <row r="20" spans="1:5" ht="16.5" customHeight="1">
      <c r="A20" s="62"/>
      <c r="B20" s="62"/>
      <c r="C20" s="77"/>
    </row>
    <row r="21" spans="1:5" ht="16.5" customHeight="1">
      <c r="A21" s="296" t="s">
        <v>1</v>
      </c>
      <c r="B21" s="296"/>
      <c r="C21" s="59" t="s">
        <v>38</v>
      </c>
      <c r="D21" s="66"/>
    </row>
    <row r="22" spans="1:5" ht="15.75" customHeight="1">
      <c r="A22" s="300"/>
      <c r="B22" s="300"/>
      <c r="C22" s="57"/>
      <c r="D22" s="300"/>
      <c r="E22" s="300"/>
    </row>
    <row r="23" spans="1:5" ht="33.75" customHeight="1">
      <c r="C23" s="86" t="s">
        <v>39</v>
      </c>
      <c r="D23" s="85" t="s">
        <v>40</v>
      </c>
      <c r="E23" s="52"/>
    </row>
    <row r="24" spans="1:5" ht="15.75" customHeight="1">
      <c r="C24" s="95">
        <v>1101.18</v>
      </c>
      <c r="D24" s="87">
        <f t="shared" ref="D24:D43" si="0">(C24-$C$46)/$C$46</f>
        <v>9.9082802316208056E-4</v>
      </c>
      <c r="E24" s="53"/>
    </row>
    <row r="25" spans="1:5" ht="15.75" customHeight="1">
      <c r="C25" s="95">
        <v>1132.1400000000001</v>
      </c>
      <c r="D25" s="88">
        <f t="shared" si="0"/>
        <v>2.9133979947095618E-2</v>
      </c>
      <c r="E25" s="53"/>
    </row>
    <row r="26" spans="1:5" ht="15.75" customHeight="1">
      <c r="C26" s="95">
        <v>1082.93</v>
      </c>
      <c r="D26" s="88">
        <f t="shared" si="0"/>
        <v>-1.559872374078451E-2</v>
      </c>
      <c r="E26" s="53"/>
    </row>
    <row r="27" spans="1:5" ht="15.75" customHeight="1">
      <c r="C27" s="95">
        <v>1094.57</v>
      </c>
      <c r="D27" s="88">
        <f t="shared" si="0"/>
        <v>-5.0177712732592389E-3</v>
      </c>
      <c r="E27" s="53"/>
    </row>
    <row r="28" spans="1:5" ht="15.75" customHeight="1">
      <c r="C28" s="95">
        <v>1139.2</v>
      </c>
      <c r="D28" s="88">
        <f t="shared" si="0"/>
        <v>3.5551636684271616E-2</v>
      </c>
      <c r="E28" s="53"/>
    </row>
    <row r="29" spans="1:5" ht="15.75" customHeight="1">
      <c r="C29" s="95">
        <v>1091.1099999999999</v>
      </c>
      <c r="D29" s="88">
        <f t="shared" si="0"/>
        <v>-8.1629684843965433E-3</v>
      </c>
      <c r="E29" s="53"/>
    </row>
    <row r="30" spans="1:5" ht="15.75" customHeight="1">
      <c r="C30" s="95">
        <v>1118.92</v>
      </c>
      <c r="D30" s="88">
        <f t="shared" si="0"/>
        <v>1.7116781354253187E-2</v>
      </c>
      <c r="E30" s="53"/>
    </row>
    <row r="31" spans="1:5" ht="15.75" customHeight="1">
      <c r="C31" s="95">
        <v>1100.74</v>
      </c>
      <c r="D31" s="88">
        <f t="shared" si="0"/>
        <v>5.9086074775729122E-4</v>
      </c>
      <c r="E31" s="53"/>
    </row>
    <row r="32" spans="1:5" ht="15.75" customHeight="1">
      <c r="C32" s="95">
        <v>1075.76</v>
      </c>
      <c r="D32" s="88">
        <f t="shared" si="0"/>
        <v>-2.2116372296811813E-2</v>
      </c>
      <c r="E32" s="53"/>
    </row>
    <row r="33" spans="1:7" ht="15.75" customHeight="1">
      <c r="C33" s="95">
        <v>1108.0999999999999</v>
      </c>
      <c r="D33" s="88">
        <f t="shared" si="0"/>
        <v>7.2812224454364832E-3</v>
      </c>
      <c r="E33" s="53"/>
    </row>
    <row r="34" spans="1:7" ht="15.75" customHeight="1">
      <c r="C34" s="95">
        <v>1095.29</v>
      </c>
      <c r="D34" s="88">
        <f t="shared" si="0"/>
        <v>-4.3632793680514577E-3</v>
      </c>
      <c r="E34" s="53"/>
    </row>
    <row r="35" spans="1:7" ht="15.75" customHeight="1">
      <c r="C35" s="95">
        <v>1088.6099999999999</v>
      </c>
      <c r="D35" s="88">
        <f t="shared" si="0"/>
        <v>-1.0435509821923473E-2</v>
      </c>
      <c r="E35" s="53"/>
    </row>
    <row r="36" spans="1:7" ht="15.75" customHeight="1">
      <c r="C36" s="95">
        <v>1113.8599999999999</v>
      </c>
      <c r="D36" s="88">
        <f t="shared" si="0"/>
        <v>1.2517157687098521E-2</v>
      </c>
      <c r="E36" s="53"/>
    </row>
    <row r="37" spans="1:7" ht="15.75" customHeight="1">
      <c r="C37" s="95">
        <v>1114.9100000000001</v>
      </c>
      <c r="D37" s="88">
        <f t="shared" si="0"/>
        <v>1.3471625048859999E-2</v>
      </c>
      <c r="E37" s="53"/>
    </row>
    <row r="38" spans="1:7" ht="15.75" customHeight="1">
      <c r="C38" s="95">
        <v>1067.8399999999999</v>
      </c>
      <c r="D38" s="88">
        <f t="shared" si="0"/>
        <v>-2.9315783254097193E-2</v>
      </c>
      <c r="E38" s="53"/>
    </row>
    <row r="39" spans="1:7" ht="15.75" customHeight="1">
      <c r="C39" s="95">
        <v>1097.33</v>
      </c>
      <c r="D39" s="88">
        <f t="shared" si="0"/>
        <v>-2.5088856366295162E-3</v>
      </c>
      <c r="E39" s="53"/>
    </row>
    <row r="40" spans="1:7" ht="15.75" customHeight="1">
      <c r="C40" s="95">
        <v>1092.5</v>
      </c>
      <c r="D40" s="88">
        <f t="shared" si="0"/>
        <v>-6.8994355007314795E-3</v>
      </c>
      <c r="E40" s="53"/>
    </row>
    <row r="41" spans="1:7" ht="15.75" customHeight="1">
      <c r="C41" s="95">
        <v>1100.17</v>
      </c>
      <c r="D41" s="88">
        <f t="shared" si="0"/>
        <v>7.2721322801209005E-5</v>
      </c>
      <c r="E41" s="53"/>
    </row>
    <row r="42" spans="1:7" ht="15.75" customHeight="1">
      <c r="C42" s="95">
        <v>1106.69</v>
      </c>
      <c r="D42" s="88">
        <f t="shared" si="0"/>
        <v>5.9995091310714264E-3</v>
      </c>
      <c r="E42" s="53"/>
    </row>
    <row r="43" spans="1:7" ht="16.5" customHeight="1">
      <c r="C43" s="96">
        <v>1079.95</v>
      </c>
      <c r="D43" s="89">
        <f t="shared" si="0"/>
        <v>-1.8307593015116627E-2</v>
      </c>
      <c r="E43" s="53"/>
    </row>
    <row r="44" spans="1:7" ht="16.5" customHeight="1">
      <c r="C44" s="54"/>
      <c r="D44" s="53"/>
      <c r="E44" s="55"/>
    </row>
    <row r="45" spans="1:7" ht="16.5" customHeight="1">
      <c r="B45" s="82" t="s">
        <v>41</v>
      </c>
      <c r="C45" s="83">
        <f>SUM(C24:C44)</f>
        <v>22001.799999999996</v>
      </c>
      <c r="D45" s="78"/>
      <c r="E45" s="54"/>
    </row>
    <row r="46" spans="1:7" ht="17.25" customHeight="1">
      <c r="B46" s="82" t="s">
        <v>42</v>
      </c>
      <c r="C46" s="84">
        <f>AVERAGE(C24:C44)</f>
        <v>1100.0899999999997</v>
      </c>
      <c r="E46" s="56"/>
    </row>
    <row r="47" spans="1:7" ht="17.25" customHeight="1">
      <c r="A47" s="60"/>
      <c r="B47" s="79"/>
      <c r="D47" s="58"/>
      <c r="E47" s="56"/>
    </row>
    <row r="48" spans="1:7" ht="33.75" customHeight="1">
      <c r="B48" s="92" t="s">
        <v>42</v>
      </c>
      <c r="C48" s="85" t="s">
        <v>43</v>
      </c>
      <c r="D48" s="80"/>
      <c r="G48" s="58"/>
    </row>
    <row r="49" spans="1:6" ht="17.25" customHeight="1">
      <c r="B49" s="294">
        <f>C46</f>
        <v>1100.0899999999997</v>
      </c>
      <c r="C49" s="93">
        <f>-IF(C46&lt;=80,10%,IF(C46&lt;250,7.5%,5%))</f>
        <v>-0.05</v>
      </c>
      <c r="D49" s="81">
        <f>IF(C46&lt;=80,C46*0.9,IF(C46&lt;250,C46*0.925,C46*0.95))</f>
        <v>1045.0854999999997</v>
      </c>
    </row>
    <row r="50" spans="1:6" ht="17.25" customHeight="1">
      <c r="B50" s="295"/>
      <c r="C50" s="94">
        <f>IF(C46&lt;=80, 10%, IF(C46&lt;250, 7.5%, 5%))</f>
        <v>0.05</v>
      </c>
      <c r="D50" s="81">
        <f>IF(C46&lt;=80, C46*1.1, IF(C46&lt;250, C46*1.075, C46*1.05))</f>
        <v>1155.0944999999997</v>
      </c>
    </row>
    <row r="51" spans="1:6" ht="16.5" customHeight="1">
      <c r="A51" s="63"/>
      <c r="B51" s="64"/>
      <c r="C51" s="60"/>
      <c r="D51" s="65"/>
      <c r="E51" s="60"/>
      <c r="F51" s="66"/>
    </row>
    <row r="52" spans="1:6" ht="16.5" customHeight="1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>
      <c r="A53" s="70" t="s">
        <v>28</v>
      </c>
      <c r="B53" s="71" t="s">
        <v>125</v>
      </c>
      <c r="C53" s="72"/>
      <c r="D53" s="290">
        <v>42298</v>
      </c>
      <c r="E53" s="61"/>
      <c r="F53" s="73"/>
    </row>
    <row r="54" spans="1:6" ht="34.5" customHeight="1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B58" zoomScale="60" zoomScaleNormal="40" zoomScalePageLayoutView="50" workbookViewId="0">
      <selection activeCell="B20" sqref="B20:C20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302" t="s">
        <v>44</v>
      </c>
      <c r="B1" s="302"/>
      <c r="C1" s="302"/>
      <c r="D1" s="302"/>
      <c r="E1" s="302"/>
      <c r="F1" s="302"/>
      <c r="G1" s="302"/>
      <c r="H1" s="302"/>
      <c r="I1" s="302"/>
    </row>
    <row r="2" spans="1:9" ht="18.75" customHeight="1">
      <c r="A2" s="302"/>
      <c r="B2" s="302"/>
      <c r="C2" s="302"/>
      <c r="D2" s="302"/>
      <c r="E2" s="302"/>
      <c r="F2" s="302"/>
      <c r="G2" s="302"/>
      <c r="H2" s="302"/>
      <c r="I2" s="302"/>
    </row>
    <row r="3" spans="1:9" ht="18.75" customHeight="1">
      <c r="A3" s="302"/>
      <c r="B3" s="302"/>
      <c r="C3" s="302"/>
      <c r="D3" s="302"/>
      <c r="E3" s="302"/>
      <c r="F3" s="302"/>
      <c r="G3" s="302"/>
      <c r="H3" s="302"/>
      <c r="I3" s="302"/>
    </row>
    <row r="4" spans="1:9" ht="18.75" customHeight="1">
      <c r="A4" s="302"/>
      <c r="B4" s="302"/>
      <c r="C4" s="302"/>
      <c r="D4" s="302"/>
      <c r="E4" s="302"/>
      <c r="F4" s="302"/>
      <c r="G4" s="302"/>
      <c r="H4" s="302"/>
      <c r="I4" s="302"/>
    </row>
    <row r="5" spans="1:9" ht="18.75" customHeight="1">
      <c r="A5" s="302"/>
      <c r="B5" s="302"/>
      <c r="C5" s="302"/>
      <c r="D5" s="302"/>
      <c r="E5" s="302"/>
      <c r="F5" s="302"/>
      <c r="G5" s="302"/>
      <c r="H5" s="302"/>
      <c r="I5" s="302"/>
    </row>
    <row r="6" spans="1:9" ht="18.75" customHeight="1">
      <c r="A6" s="302"/>
      <c r="B6" s="302"/>
      <c r="C6" s="302"/>
      <c r="D6" s="302"/>
      <c r="E6" s="302"/>
      <c r="F6" s="302"/>
      <c r="G6" s="302"/>
      <c r="H6" s="302"/>
      <c r="I6" s="302"/>
    </row>
    <row r="7" spans="1:9" ht="18.75" customHeight="1">
      <c r="A7" s="302"/>
      <c r="B7" s="302"/>
      <c r="C7" s="302"/>
      <c r="D7" s="302"/>
      <c r="E7" s="302"/>
      <c r="F7" s="302"/>
      <c r="G7" s="302"/>
      <c r="H7" s="302"/>
      <c r="I7" s="302"/>
    </row>
    <row r="8" spans="1:9">
      <c r="A8" s="303" t="s">
        <v>45</v>
      </c>
      <c r="B8" s="303"/>
      <c r="C8" s="303"/>
      <c r="D8" s="303"/>
      <c r="E8" s="303"/>
      <c r="F8" s="303"/>
      <c r="G8" s="303"/>
      <c r="H8" s="303"/>
      <c r="I8" s="303"/>
    </row>
    <row r="9" spans="1:9">
      <c r="A9" s="303"/>
      <c r="B9" s="303"/>
      <c r="C9" s="303"/>
      <c r="D9" s="303"/>
      <c r="E9" s="303"/>
      <c r="F9" s="303"/>
      <c r="G9" s="303"/>
      <c r="H9" s="303"/>
      <c r="I9" s="303"/>
    </row>
    <row r="10" spans="1:9">
      <c r="A10" s="303"/>
      <c r="B10" s="303"/>
      <c r="C10" s="303"/>
      <c r="D10" s="303"/>
      <c r="E10" s="303"/>
      <c r="F10" s="303"/>
      <c r="G10" s="303"/>
      <c r="H10" s="303"/>
      <c r="I10" s="303"/>
    </row>
    <row r="11" spans="1:9">
      <c r="A11" s="303"/>
      <c r="B11" s="303"/>
      <c r="C11" s="303"/>
      <c r="D11" s="303"/>
      <c r="E11" s="303"/>
      <c r="F11" s="303"/>
      <c r="G11" s="303"/>
      <c r="H11" s="303"/>
      <c r="I11" s="303"/>
    </row>
    <row r="12" spans="1:9">
      <c r="A12" s="303"/>
      <c r="B12" s="303"/>
      <c r="C12" s="303"/>
      <c r="D12" s="303"/>
      <c r="E12" s="303"/>
      <c r="F12" s="303"/>
      <c r="G12" s="303"/>
      <c r="H12" s="303"/>
      <c r="I12" s="303"/>
    </row>
    <row r="13" spans="1:9">
      <c r="A13" s="303"/>
      <c r="B13" s="303"/>
      <c r="C13" s="303"/>
      <c r="D13" s="303"/>
      <c r="E13" s="303"/>
      <c r="F13" s="303"/>
      <c r="G13" s="303"/>
      <c r="H13" s="303"/>
      <c r="I13" s="303"/>
    </row>
    <row r="14" spans="1:9">
      <c r="A14" s="303"/>
      <c r="B14" s="303"/>
      <c r="C14" s="303"/>
      <c r="D14" s="303"/>
      <c r="E14" s="303"/>
      <c r="F14" s="303"/>
      <c r="G14" s="303"/>
      <c r="H14" s="303"/>
      <c r="I14" s="303"/>
    </row>
    <row r="15" spans="1:9" ht="19.5" customHeight="1">
      <c r="A15" s="98"/>
    </row>
    <row r="16" spans="1:9" ht="19.5" customHeight="1">
      <c r="A16" s="336" t="s">
        <v>30</v>
      </c>
      <c r="B16" s="337"/>
      <c r="C16" s="337"/>
      <c r="D16" s="337"/>
      <c r="E16" s="337"/>
      <c r="F16" s="337"/>
      <c r="G16" s="337"/>
      <c r="H16" s="338"/>
    </row>
    <row r="17" spans="1:14" ht="20.25" customHeight="1">
      <c r="A17" s="339" t="s">
        <v>46</v>
      </c>
      <c r="B17" s="339"/>
      <c r="C17" s="339"/>
      <c r="D17" s="339"/>
      <c r="E17" s="339"/>
      <c r="F17" s="339"/>
      <c r="G17" s="339"/>
      <c r="H17" s="339"/>
    </row>
    <row r="18" spans="1:14" ht="26.25" customHeight="1">
      <c r="A18" s="100" t="s">
        <v>32</v>
      </c>
      <c r="B18" s="335" t="s">
        <v>5</v>
      </c>
      <c r="C18" s="335"/>
      <c r="D18" s="270"/>
      <c r="E18" s="101"/>
      <c r="F18" s="102"/>
      <c r="G18" s="102"/>
      <c r="H18" s="102"/>
    </row>
    <row r="19" spans="1:14" ht="26.25" customHeight="1">
      <c r="A19" s="100" t="s">
        <v>33</v>
      </c>
      <c r="B19" s="103" t="s">
        <v>128</v>
      </c>
      <c r="C19" s="272">
        <v>1</v>
      </c>
      <c r="D19" s="102"/>
      <c r="E19" s="102"/>
      <c r="F19" s="102"/>
      <c r="G19" s="102"/>
      <c r="H19" s="102"/>
    </row>
    <row r="20" spans="1:14" ht="26.25" customHeight="1">
      <c r="A20" s="100" t="s">
        <v>34</v>
      </c>
      <c r="B20" s="340" t="s">
        <v>124</v>
      </c>
      <c r="C20" s="340"/>
      <c r="D20" s="102"/>
      <c r="E20" s="102"/>
      <c r="F20" s="102"/>
      <c r="G20" s="102"/>
      <c r="H20" s="102"/>
    </row>
    <row r="21" spans="1:14" ht="26.25" customHeight="1">
      <c r="A21" s="100" t="s">
        <v>35</v>
      </c>
      <c r="B21" s="340" t="s">
        <v>11</v>
      </c>
      <c r="C21" s="340"/>
      <c r="D21" s="340"/>
      <c r="E21" s="340"/>
      <c r="F21" s="340"/>
      <c r="G21" s="340"/>
      <c r="H21" s="340"/>
      <c r="I21" s="104"/>
    </row>
    <row r="22" spans="1:14" ht="26.25" customHeight="1">
      <c r="A22" s="100" t="s">
        <v>36</v>
      </c>
      <c r="B22" s="105">
        <v>42258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37</v>
      </c>
      <c r="B23" s="105">
        <v>42298</v>
      </c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108" t="s">
        <v>4</v>
      </c>
      <c r="B26" s="335" t="s">
        <v>124</v>
      </c>
      <c r="C26" s="335"/>
    </row>
    <row r="27" spans="1:14" ht="26.25" customHeight="1">
      <c r="A27" s="109" t="s">
        <v>47</v>
      </c>
      <c r="B27" s="333" t="s">
        <v>127</v>
      </c>
      <c r="C27" s="333"/>
    </row>
    <row r="28" spans="1:14" ht="27" customHeight="1">
      <c r="A28" s="109" t="s">
        <v>6</v>
      </c>
      <c r="B28" s="110">
        <v>99.2</v>
      </c>
    </row>
    <row r="29" spans="1:14" s="14" customFormat="1" ht="27" customHeight="1">
      <c r="A29" s="109" t="s">
        <v>48</v>
      </c>
      <c r="B29" s="111">
        <v>0</v>
      </c>
      <c r="C29" s="310" t="s">
        <v>49</v>
      </c>
      <c r="D29" s="311"/>
      <c r="E29" s="311"/>
      <c r="F29" s="311"/>
      <c r="G29" s="312"/>
      <c r="I29" s="112"/>
      <c r="J29" s="112"/>
      <c r="K29" s="112"/>
      <c r="L29" s="112"/>
    </row>
    <row r="30" spans="1:14" s="14" customFormat="1" ht="19.5" customHeight="1">
      <c r="A30" s="109" t="s">
        <v>50</v>
      </c>
      <c r="B30" s="113">
        <f>B28-B29</f>
        <v>99.2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>
      <c r="A31" s="109" t="s">
        <v>51</v>
      </c>
      <c r="B31" s="116">
        <v>1</v>
      </c>
      <c r="C31" s="313" t="s">
        <v>52</v>
      </c>
      <c r="D31" s="314"/>
      <c r="E31" s="314"/>
      <c r="F31" s="314"/>
      <c r="G31" s="314"/>
      <c r="H31" s="315"/>
      <c r="I31" s="112"/>
      <c r="J31" s="112"/>
      <c r="K31" s="112"/>
      <c r="L31" s="112"/>
    </row>
    <row r="32" spans="1:14" s="14" customFormat="1" ht="27" customHeight="1">
      <c r="A32" s="109" t="s">
        <v>53</v>
      </c>
      <c r="B32" s="116">
        <v>1</v>
      </c>
      <c r="C32" s="313" t="s">
        <v>54</v>
      </c>
      <c r="D32" s="314"/>
      <c r="E32" s="314"/>
      <c r="F32" s="314"/>
      <c r="G32" s="314"/>
      <c r="H32" s="315"/>
      <c r="I32" s="112"/>
      <c r="J32" s="112"/>
      <c r="K32" s="112"/>
      <c r="L32" s="117"/>
      <c r="M32" s="117"/>
      <c r="N32" s="118"/>
    </row>
    <row r="33" spans="1:14" s="14" customFormat="1" ht="17.25" customHeight="1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>
      <c r="A36" s="122" t="s">
        <v>57</v>
      </c>
      <c r="B36" s="123">
        <v>10</v>
      </c>
      <c r="C36" s="99"/>
      <c r="D36" s="316" t="s">
        <v>58</v>
      </c>
      <c r="E36" s="334"/>
      <c r="F36" s="316" t="s">
        <v>59</v>
      </c>
      <c r="G36" s="317"/>
      <c r="J36" s="112"/>
      <c r="K36" s="112"/>
      <c r="L36" s="117"/>
      <c r="M36" s="117"/>
      <c r="N36" s="118"/>
    </row>
    <row r="37" spans="1:14" s="14" customFormat="1" ht="27" customHeight="1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>
      <c r="A38" s="124" t="s">
        <v>65</v>
      </c>
      <c r="B38" s="125">
        <v>25</v>
      </c>
      <c r="C38" s="131">
        <v>1</v>
      </c>
      <c r="D38" s="132">
        <v>33034734</v>
      </c>
      <c r="E38" s="133">
        <f>IF(ISBLANK(D38),"-",$D$48/$D$45*D38)</f>
        <v>40121859.211037695</v>
      </c>
      <c r="F38" s="132">
        <v>35718079</v>
      </c>
      <c r="G38" s="134">
        <f>IF(ISBLANK(F38),"-",$D$48/$F$45*F38)</f>
        <v>40792441.115022898</v>
      </c>
      <c r="I38" s="135"/>
      <c r="J38" s="112"/>
      <c r="K38" s="112"/>
      <c r="L38" s="117"/>
      <c r="M38" s="117"/>
      <c r="N38" s="118"/>
    </row>
    <row r="39" spans="1:14" s="14" customFormat="1" ht="26.25" customHeight="1">
      <c r="A39" s="124" t="s">
        <v>66</v>
      </c>
      <c r="B39" s="125">
        <v>1</v>
      </c>
      <c r="C39" s="136">
        <v>2</v>
      </c>
      <c r="D39" s="137">
        <v>33177260</v>
      </c>
      <c r="E39" s="138">
        <f>IF(ISBLANK(D39),"-",$D$48/$D$45*D39)</f>
        <v>40294962.106490478</v>
      </c>
      <c r="F39" s="137">
        <v>35884349</v>
      </c>
      <c r="G39" s="139">
        <f>IF(ISBLANK(F39),"-",$D$48/$F$45*F39)</f>
        <v>40982332.603425592</v>
      </c>
      <c r="I39" s="318">
        <f>ABS((F43/D43*D42)-F42)/D42</f>
        <v>1.7193688937155237E-2</v>
      </c>
      <c r="J39" s="112"/>
      <c r="K39" s="112"/>
      <c r="L39" s="117"/>
      <c r="M39" s="117"/>
      <c r="N39" s="118"/>
    </row>
    <row r="40" spans="1:14" ht="26.25" customHeight="1">
      <c r="A40" s="124" t="s">
        <v>67</v>
      </c>
      <c r="B40" s="125">
        <v>1</v>
      </c>
      <c r="C40" s="136">
        <v>3</v>
      </c>
      <c r="D40" s="137">
        <v>33202651</v>
      </c>
      <c r="E40" s="138">
        <f>IF(ISBLANK(D40),"-",$D$48/$D$45*D40)</f>
        <v>40325800.378935091</v>
      </c>
      <c r="F40" s="137">
        <v>35829760</v>
      </c>
      <c r="G40" s="139">
        <f>IF(ISBLANK(F40),"-",$D$48/$F$45*F40)</f>
        <v>40919988.305233404</v>
      </c>
      <c r="I40" s="318"/>
      <c r="L40" s="117"/>
      <c r="M40" s="117"/>
      <c r="N40" s="140"/>
    </row>
    <row r="41" spans="1:14" ht="27" customHeight="1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>
      <c r="A42" s="124" t="s">
        <v>69</v>
      </c>
      <c r="B42" s="125">
        <v>1</v>
      </c>
      <c r="C42" s="146" t="s">
        <v>70</v>
      </c>
      <c r="D42" s="147">
        <f>AVERAGE(D38:D41)</f>
        <v>33138215</v>
      </c>
      <c r="E42" s="148">
        <f>AVERAGE(E38:E41)</f>
        <v>40247540.56548775</v>
      </c>
      <c r="F42" s="147">
        <f>AVERAGE(F38:F41)</f>
        <v>35810729.333333336</v>
      </c>
      <c r="G42" s="149">
        <f>AVERAGE(G38:G41)</f>
        <v>40898254.007893965</v>
      </c>
      <c r="H42" s="150"/>
    </row>
    <row r="43" spans="1:14" ht="26.25" customHeight="1">
      <c r="A43" s="124" t="s">
        <v>71</v>
      </c>
      <c r="B43" s="125">
        <v>1</v>
      </c>
      <c r="C43" s="151" t="s">
        <v>72</v>
      </c>
      <c r="D43" s="152">
        <v>12.45</v>
      </c>
      <c r="E43" s="140"/>
      <c r="F43" s="152">
        <v>13.24</v>
      </c>
      <c r="H43" s="150"/>
    </row>
    <row r="44" spans="1:14" ht="26.25" customHeight="1">
      <c r="A44" s="124" t="s">
        <v>73</v>
      </c>
      <c r="B44" s="125">
        <v>1</v>
      </c>
      <c r="C44" s="153" t="s">
        <v>74</v>
      </c>
      <c r="D44" s="154">
        <f>D43*$B$34</f>
        <v>12.45</v>
      </c>
      <c r="E44" s="155"/>
      <c r="F44" s="154">
        <f>F43*$B$34</f>
        <v>13.24</v>
      </c>
      <c r="H44" s="150"/>
    </row>
    <row r="45" spans="1:14" ht="19.5" customHeight="1">
      <c r="A45" s="124" t="s">
        <v>75</v>
      </c>
      <c r="B45" s="156">
        <f>(B44/B43)*(B42/B41)*(B40/B39)*(B38/B37)*B36</f>
        <v>250</v>
      </c>
      <c r="C45" s="153" t="s">
        <v>76</v>
      </c>
      <c r="D45" s="157">
        <f>D44*$B$30/100</f>
        <v>12.3504</v>
      </c>
      <c r="E45" s="158"/>
      <c r="F45" s="157">
        <f>F44*$B$30/100</f>
        <v>13.134080000000001</v>
      </c>
      <c r="H45" s="150"/>
    </row>
    <row r="46" spans="1:14" ht="19.5" customHeight="1">
      <c r="A46" s="304" t="s">
        <v>77</v>
      </c>
      <c r="B46" s="305"/>
      <c r="C46" s="153" t="s">
        <v>78</v>
      </c>
      <c r="D46" s="159">
        <f>D45/$B$45</f>
        <v>4.9401600000000004E-2</v>
      </c>
      <c r="E46" s="160"/>
      <c r="F46" s="161">
        <f>F45/$B$45</f>
        <v>5.2536320000000004E-2</v>
      </c>
      <c r="H46" s="150"/>
    </row>
    <row r="47" spans="1:14" ht="27" customHeight="1">
      <c r="A47" s="306"/>
      <c r="B47" s="307"/>
      <c r="C47" s="162" t="s">
        <v>79</v>
      </c>
      <c r="D47" s="163">
        <v>0.06</v>
      </c>
      <c r="E47" s="164"/>
      <c r="F47" s="160"/>
      <c r="H47" s="150"/>
    </row>
    <row r="48" spans="1:14" ht="18.75">
      <c r="C48" s="165" t="s">
        <v>80</v>
      </c>
      <c r="D48" s="157">
        <f>D47*$B$45</f>
        <v>15</v>
      </c>
      <c r="F48" s="166"/>
      <c r="H48" s="150"/>
    </row>
    <row r="49" spans="1:12" ht="19.5" customHeight="1">
      <c r="C49" s="167" t="s">
        <v>81</v>
      </c>
      <c r="D49" s="168">
        <f>D48/B34</f>
        <v>15</v>
      </c>
      <c r="F49" s="166"/>
      <c r="H49" s="150"/>
    </row>
    <row r="50" spans="1:12" ht="18.75">
      <c r="C50" s="122" t="s">
        <v>82</v>
      </c>
      <c r="D50" s="169">
        <f>AVERAGE(E38:E41,G38:G41)</f>
        <v>40572897.286690861</v>
      </c>
      <c r="F50" s="170"/>
      <c r="H50" s="150"/>
    </row>
    <row r="51" spans="1:12" ht="18.75">
      <c r="C51" s="124" t="s">
        <v>83</v>
      </c>
      <c r="D51" s="171">
        <f>STDEV(E38:E41,G38:G41)/D50</f>
        <v>9.0763150102768485E-3</v>
      </c>
      <c r="F51" s="170"/>
      <c r="H51" s="150"/>
    </row>
    <row r="52" spans="1:12" ht="19.5" customHeight="1">
      <c r="C52" s="172" t="s">
        <v>19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84</v>
      </c>
    </row>
    <row r="55" spans="1:12" ht="18.75">
      <c r="A55" s="99" t="s">
        <v>85</v>
      </c>
      <c r="B55" s="176" t="str">
        <f>B21</f>
        <v>Each film coated  tablet contains Lamivudine USP 300mg and Tenofovir Disoproxil Fumarate 300mg equivalent to Tenofovir Disproxil 245 mg</v>
      </c>
    </row>
    <row r="56" spans="1:12" ht="26.25" customHeight="1">
      <c r="A56" s="177" t="s">
        <v>86</v>
      </c>
      <c r="B56" s="178">
        <v>300</v>
      </c>
      <c r="C56" s="99" t="str">
        <f>B20</f>
        <v>Tenofovir Disoproxil Fumarate</v>
      </c>
      <c r="H56" s="179"/>
    </row>
    <row r="57" spans="1:12" ht="18.75">
      <c r="A57" s="176" t="s">
        <v>87</v>
      </c>
      <c r="B57" s="271">
        <f>Uniformity!C46</f>
        <v>1100.0899999999997</v>
      </c>
      <c r="H57" s="179"/>
    </row>
    <row r="58" spans="1:12" ht="19.5" customHeight="1">
      <c r="H58" s="179"/>
    </row>
    <row r="59" spans="1:12" s="14" customFormat="1" ht="27" customHeight="1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>
      <c r="A60" s="124" t="s">
        <v>92</v>
      </c>
      <c r="B60" s="125">
        <v>5</v>
      </c>
      <c r="C60" s="321" t="s">
        <v>93</v>
      </c>
      <c r="D60" s="324">
        <v>1123.55</v>
      </c>
      <c r="E60" s="182">
        <v>1</v>
      </c>
      <c r="F60" s="183"/>
      <c r="G60" s="273" t="str">
        <f>IF(ISBLANK(F60),"-",(F60/$D$50*$D$47*$B$68)*($B$57/$D$60))</f>
        <v>-</v>
      </c>
      <c r="H60" s="184" t="str">
        <f>IF(ISBLANK(F60),"-",G60/$B$56)</f>
        <v>-</v>
      </c>
      <c r="L60" s="112"/>
    </row>
    <row r="61" spans="1:12" s="14" customFormat="1" ht="26.25" customHeight="1">
      <c r="A61" s="124" t="s">
        <v>94</v>
      </c>
      <c r="B61" s="125">
        <v>250</v>
      </c>
      <c r="C61" s="322"/>
      <c r="D61" s="325"/>
      <c r="E61" s="185">
        <v>2</v>
      </c>
      <c r="F61" s="137"/>
      <c r="G61" s="274" t="str">
        <f>IF(ISBLANK(F61),"-",(F61/$D$50*$D$47*$B$68)*($B$57/$D$60))</f>
        <v>-</v>
      </c>
      <c r="H61" s="186" t="str">
        <f t="shared" ref="H61:H71" si="0">IF(ISBLANK(F61),"-",G61/$B$56)</f>
        <v>-</v>
      </c>
      <c r="L61" s="112"/>
    </row>
    <row r="62" spans="1:12" s="14" customFormat="1" ht="26.25" customHeight="1">
      <c r="A62" s="124" t="s">
        <v>95</v>
      </c>
      <c r="B62" s="125">
        <v>1</v>
      </c>
      <c r="C62" s="322"/>
      <c r="D62" s="325"/>
      <c r="E62" s="185">
        <v>3</v>
      </c>
      <c r="F62" s="187"/>
      <c r="G62" s="274" t="str">
        <f>IF(ISBLANK(F62),"-",(F62/$D$50*$D$47*$B$68)*($B$57/$D$60))</f>
        <v>-</v>
      </c>
      <c r="H62" s="186" t="str">
        <f t="shared" si="0"/>
        <v>-</v>
      </c>
      <c r="L62" s="112"/>
    </row>
    <row r="63" spans="1:12" ht="27" customHeight="1">
      <c r="A63" s="124" t="s">
        <v>96</v>
      </c>
      <c r="B63" s="125">
        <v>1</v>
      </c>
      <c r="C63" s="332"/>
      <c r="D63" s="326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>
      <c r="A64" s="124" t="s">
        <v>97</v>
      </c>
      <c r="B64" s="125">
        <v>1</v>
      </c>
      <c r="C64" s="321" t="s">
        <v>98</v>
      </c>
      <c r="D64" s="324">
        <v>1113.8</v>
      </c>
      <c r="E64" s="182">
        <v>1</v>
      </c>
      <c r="F64" s="183">
        <v>39406855</v>
      </c>
      <c r="G64" s="275">
        <f>IF(ISBLANK(F64),"-",(F64/$D$50*$D$47*$B$68)*($B$57/$D$64))</f>
        <v>287.79153288497713</v>
      </c>
      <c r="H64" s="190">
        <f>IF(ISBLANK(F64),"-",G64/$B$56)</f>
        <v>0.95930510961659043</v>
      </c>
    </row>
    <row r="65" spans="1:8" ht="26.25" customHeight="1">
      <c r="A65" s="124" t="s">
        <v>99</v>
      </c>
      <c r="B65" s="125">
        <v>1</v>
      </c>
      <c r="C65" s="322"/>
      <c r="D65" s="325"/>
      <c r="E65" s="185">
        <v>2</v>
      </c>
      <c r="F65" s="137">
        <v>39721479</v>
      </c>
      <c r="G65" s="276">
        <f>IF(ISBLANK(F65),"-",(F65/$D$50*$D$47*$B$68)*($B$57/$D$64))</f>
        <v>290.0892580711764</v>
      </c>
      <c r="H65" s="191">
        <f t="shared" si="0"/>
        <v>0.96696419357058805</v>
      </c>
    </row>
    <row r="66" spans="1:8" ht="26.25" customHeight="1">
      <c r="A66" s="124" t="s">
        <v>100</v>
      </c>
      <c r="B66" s="125">
        <v>1</v>
      </c>
      <c r="C66" s="322"/>
      <c r="D66" s="325"/>
      <c r="E66" s="185">
        <v>3</v>
      </c>
      <c r="F66" s="137">
        <v>39740364</v>
      </c>
      <c r="G66" s="276">
        <f>IF(ISBLANK(F66),"-",(F66/$D$50*$D$47*$B$68)*($B$57/$D$64))</f>
        <v>290.22717679365581</v>
      </c>
      <c r="H66" s="191">
        <f t="shared" si="0"/>
        <v>0.96742392264551935</v>
      </c>
    </row>
    <row r="67" spans="1:8" ht="27" customHeight="1">
      <c r="A67" s="124" t="s">
        <v>101</v>
      </c>
      <c r="B67" s="125">
        <v>1</v>
      </c>
      <c r="C67" s="332"/>
      <c r="D67" s="326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102</v>
      </c>
      <c r="B68" s="193">
        <f>(B67/B66)*(B65/B64)*(B63/B62)*(B61/B60)*B59</f>
        <v>5000</v>
      </c>
      <c r="C68" s="321" t="s">
        <v>103</v>
      </c>
      <c r="D68" s="324">
        <v>1112.53</v>
      </c>
      <c r="E68" s="182">
        <v>1</v>
      </c>
      <c r="F68" s="183">
        <v>39202436</v>
      </c>
      <c r="G68" s="275">
        <f>IF(ISBLANK(F68),"-",(F68/$D$50*$D$47*$B$68)*($B$57/$D$68))</f>
        <v>286.62546595929092</v>
      </c>
      <c r="H68" s="186">
        <f>IF(ISBLANK(F68),"-",G68/$B$56)</f>
        <v>0.95541821986430309</v>
      </c>
    </row>
    <row r="69" spans="1:8" ht="27" customHeight="1">
      <c r="A69" s="172" t="s">
        <v>104</v>
      </c>
      <c r="B69" s="194">
        <f>(D47*B68)/B56*B57</f>
        <v>1100.0899999999997</v>
      </c>
      <c r="C69" s="322"/>
      <c r="D69" s="325"/>
      <c r="E69" s="185">
        <v>2</v>
      </c>
      <c r="F69" s="137">
        <v>39673208</v>
      </c>
      <c r="G69" s="276">
        <f>IF(ISBLANK(F69),"-",(F69/$D$50*$D$47*$B$68)*($B$57/$D$68))</f>
        <v>290.06747767153729</v>
      </c>
      <c r="H69" s="186">
        <f>IF(ISBLANK(F69),"-",G69/$B$56)</f>
        <v>0.96689159223845766</v>
      </c>
    </row>
    <row r="70" spans="1:8" ht="26.25" customHeight="1">
      <c r="A70" s="327" t="s">
        <v>77</v>
      </c>
      <c r="B70" s="328"/>
      <c r="C70" s="322"/>
      <c r="D70" s="325"/>
      <c r="E70" s="185">
        <v>3</v>
      </c>
      <c r="F70" s="137">
        <v>39758596</v>
      </c>
      <c r="G70" s="276">
        <f>IF(ISBLANK(F70),"-",(F70/$D$50*$D$47*$B$68)*($B$57/$D$68))</f>
        <v>290.69178518363503</v>
      </c>
      <c r="H70" s="186">
        <f t="shared" si="0"/>
        <v>0.96897261727878348</v>
      </c>
    </row>
    <row r="71" spans="1:8" ht="27" customHeight="1">
      <c r="A71" s="329"/>
      <c r="B71" s="330"/>
      <c r="C71" s="323"/>
      <c r="D71" s="326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196"/>
      <c r="B72" s="196"/>
      <c r="C72" s="196"/>
      <c r="D72" s="196"/>
      <c r="E72" s="196"/>
      <c r="F72" s="197"/>
      <c r="G72" s="198" t="s">
        <v>70</v>
      </c>
      <c r="H72" s="199">
        <f>AVERAGE(H60:H71)</f>
        <v>0.96416260920237373</v>
      </c>
    </row>
    <row r="73" spans="1:8" ht="26.25" customHeight="1">
      <c r="C73" s="196"/>
      <c r="D73" s="196"/>
      <c r="E73" s="196"/>
      <c r="F73" s="197"/>
      <c r="G73" s="200" t="s">
        <v>83</v>
      </c>
      <c r="H73" s="278">
        <f>STDEV(H60:H71)/H72</f>
        <v>5.6642787838681865E-3</v>
      </c>
    </row>
    <row r="74" spans="1:8" ht="27" customHeight="1">
      <c r="A74" s="196"/>
      <c r="B74" s="196"/>
      <c r="C74" s="197"/>
      <c r="D74" s="197"/>
      <c r="E74" s="201"/>
      <c r="F74" s="197"/>
      <c r="G74" s="202" t="s">
        <v>19</v>
      </c>
      <c r="H74" s="203">
        <f>COUNT(H60:H71)</f>
        <v>6</v>
      </c>
    </row>
    <row r="76" spans="1:8" ht="26.25" customHeight="1">
      <c r="A76" s="108" t="s">
        <v>105</v>
      </c>
      <c r="B76" s="204" t="s">
        <v>106</v>
      </c>
      <c r="C76" s="308" t="str">
        <f>B20</f>
        <v>Tenofovir Disoproxil Fumarate</v>
      </c>
      <c r="D76" s="308"/>
      <c r="E76" s="205" t="s">
        <v>107</v>
      </c>
      <c r="F76" s="205"/>
      <c r="G76" s="206">
        <f>H72</f>
        <v>0.96416260920237373</v>
      </c>
      <c r="H76" s="207"/>
    </row>
    <row r="77" spans="1:8" ht="18.75">
      <c r="A77" s="107" t="s">
        <v>108</v>
      </c>
      <c r="B77" s="107" t="s">
        <v>109</v>
      </c>
    </row>
    <row r="78" spans="1:8" ht="18.75">
      <c r="A78" s="107"/>
      <c r="B78" s="107"/>
    </row>
    <row r="79" spans="1:8" ht="26.25" customHeight="1">
      <c r="A79" s="108" t="s">
        <v>4</v>
      </c>
      <c r="B79" s="331" t="str">
        <f>B26</f>
        <v>Tenofovir Disoproxil Fumarate</v>
      </c>
      <c r="C79" s="331"/>
    </row>
    <row r="80" spans="1:8" ht="26.25" customHeight="1">
      <c r="A80" s="109" t="s">
        <v>47</v>
      </c>
      <c r="B80" s="331" t="str">
        <f>B27</f>
        <v>T11 5</v>
      </c>
      <c r="C80" s="331"/>
    </row>
    <row r="81" spans="1:12" ht="27" customHeight="1">
      <c r="A81" s="109" t="s">
        <v>6</v>
      </c>
      <c r="B81" s="208">
        <f>B28</f>
        <v>99.2</v>
      </c>
    </row>
    <row r="82" spans="1:12" s="14" customFormat="1" ht="27" customHeight="1">
      <c r="A82" s="109" t="s">
        <v>48</v>
      </c>
      <c r="B82" s="111">
        <v>0</v>
      </c>
      <c r="C82" s="310" t="s">
        <v>49</v>
      </c>
      <c r="D82" s="311"/>
      <c r="E82" s="311"/>
      <c r="F82" s="311"/>
      <c r="G82" s="312"/>
      <c r="I82" s="112"/>
      <c r="J82" s="112"/>
      <c r="K82" s="112"/>
      <c r="L82" s="112"/>
    </row>
    <row r="83" spans="1:12" s="14" customFormat="1" ht="19.5" customHeight="1">
      <c r="A83" s="109" t="s">
        <v>50</v>
      </c>
      <c r="B83" s="113">
        <f>B81-B82</f>
        <v>99.2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>
      <c r="A84" s="109" t="s">
        <v>51</v>
      </c>
      <c r="B84" s="116">
        <v>1</v>
      </c>
      <c r="C84" s="313" t="s">
        <v>110</v>
      </c>
      <c r="D84" s="314"/>
      <c r="E84" s="314"/>
      <c r="F84" s="314"/>
      <c r="G84" s="314"/>
      <c r="H84" s="315"/>
      <c r="I84" s="112"/>
      <c r="J84" s="112"/>
      <c r="K84" s="112"/>
      <c r="L84" s="112"/>
    </row>
    <row r="85" spans="1:12" s="14" customFormat="1" ht="27" customHeight="1">
      <c r="A85" s="109" t="s">
        <v>53</v>
      </c>
      <c r="B85" s="116">
        <v>1</v>
      </c>
      <c r="C85" s="313" t="s">
        <v>111</v>
      </c>
      <c r="D85" s="314"/>
      <c r="E85" s="314"/>
      <c r="F85" s="314"/>
      <c r="G85" s="314"/>
      <c r="H85" s="315"/>
      <c r="I85" s="112"/>
      <c r="J85" s="112"/>
      <c r="K85" s="112"/>
      <c r="L85" s="112"/>
    </row>
    <row r="86" spans="1:12" s="14" customFormat="1" ht="18.7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>
      <c r="A88" s="107"/>
      <c r="B88" s="107"/>
    </row>
    <row r="89" spans="1:12" ht="27" customHeight="1">
      <c r="A89" s="122" t="s">
        <v>57</v>
      </c>
      <c r="B89" s="123">
        <v>10</v>
      </c>
      <c r="D89" s="209" t="s">
        <v>58</v>
      </c>
      <c r="E89" s="210"/>
      <c r="F89" s="316" t="s">
        <v>59</v>
      </c>
      <c r="G89" s="317"/>
    </row>
    <row r="90" spans="1:12" ht="27" customHeight="1">
      <c r="A90" s="124" t="s">
        <v>60</v>
      </c>
      <c r="B90" s="125">
        <v>5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>
      <c r="A91" s="124" t="s">
        <v>65</v>
      </c>
      <c r="B91" s="125">
        <v>25</v>
      </c>
      <c r="C91" s="213">
        <v>1</v>
      </c>
      <c r="D91" s="132">
        <v>80857722</v>
      </c>
      <c r="E91" s="133">
        <f>IF(ISBLANK(D91),"-",$D$101/$D$98*D91)</f>
        <v>98204578.799067229</v>
      </c>
      <c r="F91" s="132">
        <v>87143546</v>
      </c>
      <c r="G91" s="134">
        <f>IF(ISBLANK(F91),"-",$D$101/$F$98*F91)</f>
        <v>99523772.506334662</v>
      </c>
      <c r="I91" s="135"/>
    </row>
    <row r="92" spans="1:12" ht="26.25" customHeight="1">
      <c r="A92" s="124" t="s">
        <v>66</v>
      </c>
      <c r="B92" s="125">
        <v>1</v>
      </c>
      <c r="C92" s="197">
        <v>2</v>
      </c>
      <c r="D92" s="137">
        <v>80972268</v>
      </c>
      <c r="E92" s="138">
        <f>IF(ISBLANK(D92),"-",$D$101/$D$98*D92)</f>
        <v>98343698.989506409</v>
      </c>
      <c r="F92" s="137">
        <v>86733792</v>
      </c>
      <c r="G92" s="139">
        <f>IF(ISBLANK(F92),"-",$D$101/$F$98*F92)</f>
        <v>99055805.964330956</v>
      </c>
      <c r="I92" s="318">
        <f>ABS((F96/D96*D95)-F95)/D95</f>
        <v>9.8534433326954302E-3</v>
      </c>
    </row>
    <row r="93" spans="1:12" ht="26.25" customHeight="1">
      <c r="A93" s="124" t="s">
        <v>67</v>
      </c>
      <c r="B93" s="125">
        <v>1</v>
      </c>
      <c r="C93" s="197">
        <v>3</v>
      </c>
      <c r="D93" s="137">
        <v>81071509</v>
      </c>
      <c r="E93" s="138">
        <f>IF(ISBLANK(D93),"-",$D$101/$D$98*D93)</f>
        <v>98464230.713175282</v>
      </c>
      <c r="F93" s="137">
        <v>86830604</v>
      </c>
      <c r="G93" s="139">
        <f>IF(ISBLANK(F93),"-",$D$101/$F$98*F93)</f>
        <v>99166371.759575084</v>
      </c>
      <c r="I93" s="318"/>
    </row>
    <row r="94" spans="1:12" ht="27" customHeight="1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>
      <c r="A95" s="124" t="s">
        <v>69</v>
      </c>
      <c r="B95" s="125">
        <v>1</v>
      </c>
      <c r="C95" s="216" t="s">
        <v>70</v>
      </c>
      <c r="D95" s="217">
        <f>AVERAGE(D91:D94)</f>
        <v>80967166.333333328</v>
      </c>
      <c r="E95" s="148">
        <f>AVERAGE(E91:E94)</f>
        <v>98337502.833916306</v>
      </c>
      <c r="F95" s="218">
        <f>AVERAGE(F91:F94)</f>
        <v>86902647.333333328</v>
      </c>
      <c r="G95" s="219">
        <f>AVERAGE(G91:G94)</f>
        <v>99248650.076746896</v>
      </c>
    </row>
    <row r="96" spans="1:12" ht="26.25" customHeight="1">
      <c r="A96" s="124" t="s">
        <v>71</v>
      </c>
      <c r="B96" s="110">
        <v>1</v>
      </c>
      <c r="C96" s="220" t="s">
        <v>112</v>
      </c>
      <c r="D96" s="221">
        <v>12.45</v>
      </c>
      <c r="E96" s="140"/>
      <c r="F96" s="152">
        <v>13.24</v>
      </c>
    </row>
    <row r="97" spans="1:10" ht="26.25" customHeight="1">
      <c r="A97" s="124" t="s">
        <v>73</v>
      </c>
      <c r="B97" s="110">
        <v>1</v>
      </c>
      <c r="C97" s="222" t="s">
        <v>113</v>
      </c>
      <c r="D97" s="223">
        <f>D96*$B$87</f>
        <v>12.45</v>
      </c>
      <c r="E97" s="155"/>
      <c r="F97" s="154">
        <f>F96*$B$87</f>
        <v>13.24</v>
      </c>
    </row>
    <row r="98" spans="1:10" ht="19.5" customHeight="1">
      <c r="A98" s="124" t="s">
        <v>75</v>
      </c>
      <c r="B98" s="224">
        <f>(B97/B96)*(B95/B94)*(B93/B92)*(B91/B90)*B89</f>
        <v>50</v>
      </c>
      <c r="C98" s="222" t="s">
        <v>114</v>
      </c>
      <c r="D98" s="225">
        <f>D97*$B$83/100</f>
        <v>12.3504</v>
      </c>
      <c r="E98" s="158"/>
      <c r="F98" s="157">
        <f>F97*$B$83/100</f>
        <v>13.134080000000001</v>
      </c>
    </row>
    <row r="99" spans="1:10" ht="19.5" customHeight="1">
      <c r="A99" s="304" t="s">
        <v>77</v>
      </c>
      <c r="B99" s="319"/>
      <c r="C99" s="222" t="s">
        <v>115</v>
      </c>
      <c r="D99" s="226">
        <f>D98/$B$98</f>
        <v>0.24700800000000001</v>
      </c>
      <c r="E99" s="158"/>
      <c r="F99" s="161">
        <f>F98/$B$98</f>
        <v>0.26268160000000002</v>
      </c>
      <c r="G99" s="227"/>
      <c r="H99" s="150"/>
    </row>
    <row r="100" spans="1:10" ht="19.5" customHeight="1">
      <c r="A100" s="306"/>
      <c r="B100" s="320"/>
      <c r="C100" s="222" t="s">
        <v>79</v>
      </c>
      <c r="D100" s="228">
        <f>$B$56/$B$116</f>
        <v>0.3</v>
      </c>
      <c r="F100" s="166"/>
      <c r="G100" s="229"/>
      <c r="H100" s="150"/>
    </row>
    <row r="101" spans="1:10" ht="18.75">
      <c r="C101" s="222" t="s">
        <v>80</v>
      </c>
      <c r="D101" s="223">
        <f>D100*$B$98</f>
        <v>15</v>
      </c>
      <c r="F101" s="166"/>
      <c r="G101" s="227"/>
      <c r="H101" s="150"/>
    </row>
    <row r="102" spans="1:10" ht="19.5" customHeight="1">
      <c r="C102" s="230" t="s">
        <v>81</v>
      </c>
      <c r="D102" s="231">
        <f>D101/B34</f>
        <v>15</v>
      </c>
      <c r="F102" s="170"/>
      <c r="G102" s="227"/>
      <c r="H102" s="150"/>
      <c r="J102" s="232"/>
    </row>
    <row r="103" spans="1:10" ht="18.75">
      <c r="C103" s="233" t="s">
        <v>116</v>
      </c>
      <c r="D103" s="234">
        <f>AVERAGE(E91:E94,G91:G94)</f>
        <v>98793076.455331609</v>
      </c>
      <c r="F103" s="170"/>
      <c r="G103" s="235"/>
      <c r="H103" s="150"/>
      <c r="J103" s="236"/>
    </row>
    <row r="104" spans="1:10" ht="18.75">
      <c r="C104" s="200" t="s">
        <v>83</v>
      </c>
      <c r="D104" s="237">
        <f>STDEV(E91:E94,G91:G94)/D103</f>
        <v>5.3536637266287787E-3</v>
      </c>
      <c r="F104" s="170"/>
      <c r="G104" s="227"/>
      <c r="H104" s="150"/>
      <c r="J104" s="236"/>
    </row>
    <row r="105" spans="1:10" ht="19.5" customHeight="1">
      <c r="C105" s="202" t="s">
        <v>19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>
      <c r="A106" s="174"/>
      <c r="B106" s="174"/>
      <c r="C106" s="174"/>
      <c r="D106" s="174"/>
      <c r="E106" s="174"/>
    </row>
    <row r="107" spans="1:10" ht="26.25" customHeight="1">
      <c r="A107" s="122" t="s">
        <v>117</v>
      </c>
      <c r="B107" s="123">
        <v>1000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>
      <c r="A108" s="124" t="s">
        <v>121</v>
      </c>
      <c r="B108" s="125">
        <v>1</v>
      </c>
      <c r="C108" s="243">
        <v>1</v>
      </c>
      <c r="D108" s="244">
        <v>96717832</v>
      </c>
      <c r="E108" s="279">
        <f>IF(ISBLANK(D108),"-",D108/$D$103*$D$100*$B$116)</f>
        <v>293.69820883267084</v>
      </c>
      <c r="F108" s="245">
        <f>IF(ISBLANK(D108), "-", E108/$B$56)</f>
        <v>0.97899402944223612</v>
      </c>
    </row>
    <row r="109" spans="1:10" ht="26.25" customHeight="1">
      <c r="A109" s="124" t="s">
        <v>94</v>
      </c>
      <c r="B109" s="125">
        <v>1</v>
      </c>
      <c r="C109" s="243">
        <v>2</v>
      </c>
      <c r="D109" s="244">
        <v>98346650</v>
      </c>
      <c r="E109" s="280">
        <f t="shared" ref="E109:E113" si="1">IF(ISBLANK(D109),"-",D109/$D$103*$D$100*$B$116)</f>
        <v>298.64435908461621</v>
      </c>
      <c r="F109" s="246">
        <f t="shared" ref="F109:F113" si="2">IF(ISBLANK(D109), "-", E109/$B$56)</f>
        <v>0.99548119694872073</v>
      </c>
    </row>
    <row r="110" spans="1:10" ht="26.25" customHeight="1">
      <c r="A110" s="124" t="s">
        <v>95</v>
      </c>
      <c r="B110" s="125">
        <v>1</v>
      </c>
      <c r="C110" s="243">
        <v>3</v>
      </c>
      <c r="D110" s="244">
        <v>98475603</v>
      </c>
      <c r="E110" s="280">
        <f t="shared" si="1"/>
        <v>299.03594421778593</v>
      </c>
      <c r="F110" s="246">
        <f>IF(ISBLANK(D110), "-", E110/$B$56)</f>
        <v>0.99678648072595311</v>
      </c>
    </row>
    <row r="111" spans="1:10" ht="26.25" customHeight="1">
      <c r="A111" s="124" t="s">
        <v>96</v>
      </c>
      <c r="B111" s="125">
        <v>1</v>
      </c>
      <c r="C111" s="243">
        <v>4</v>
      </c>
      <c r="D111" s="244">
        <v>99190328</v>
      </c>
      <c r="E111" s="280">
        <f t="shared" si="1"/>
        <v>301.20631392073716</v>
      </c>
      <c r="F111" s="246">
        <f t="shared" si="2"/>
        <v>1.0040210464024573</v>
      </c>
    </row>
    <row r="112" spans="1:10" ht="26.25" customHeight="1">
      <c r="A112" s="124" t="s">
        <v>97</v>
      </c>
      <c r="B112" s="125">
        <v>1</v>
      </c>
      <c r="C112" s="243">
        <v>5</v>
      </c>
      <c r="D112" s="244">
        <v>95633596</v>
      </c>
      <c r="E112" s="280">
        <f t="shared" si="1"/>
        <v>290.40576353518009</v>
      </c>
      <c r="F112" s="246">
        <f>IF(ISBLANK(D112), "-", E112/$B$56)</f>
        <v>0.96801921178393358</v>
      </c>
    </row>
    <row r="113" spans="1:10" ht="26.25" customHeight="1">
      <c r="A113" s="124" t="s">
        <v>99</v>
      </c>
      <c r="B113" s="125">
        <v>1</v>
      </c>
      <c r="C113" s="247">
        <v>6</v>
      </c>
      <c r="D113" s="248">
        <v>97269948</v>
      </c>
      <c r="E113" s="281">
        <f t="shared" si="1"/>
        <v>295.37479190855964</v>
      </c>
      <c r="F113" s="249">
        <f t="shared" si="2"/>
        <v>0.98458263969519877</v>
      </c>
    </row>
    <row r="114" spans="1:10" ht="26.25" customHeight="1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>
      <c r="A115" s="124" t="s">
        <v>101</v>
      </c>
      <c r="B115" s="125">
        <v>1</v>
      </c>
      <c r="C115" s="243"/>
      <c r="D115" s="251"/>
      <c r="E115" s="252" t="s">
        <v>70</v>
      </c>
      <c r="F115" s="253">
        <f>AVERAGE(F108:F113)</f>
        <v>0.98798076749974995</v>
      </c>
    </row>
    <row r="116" spans="1:10" ht="27" customHeight="1">
      <c r="A116" s="124" t="s">
        <v>102</v>
      </c>
      <c r="B116" s="156">
        <f>(B115/B114)*(B113/B112)*(B111/B110)*(B109/B108)*B107</f>
        <v>1000</v>
      </c>
      <c r="C116" s="254"/>
      <c r="D116" s="255"/>
      <c r="E116" s="216" t="s">
        <v>83</v>
      </c>
      <c r="F116" s="256">
        <f>STDEV(F108:F113)/F115</f>
        <v>1.3442075580729457E-2</v>
      </c>
      <c r="I116" s="98"/>
    </row>
    <row r="117" spans="1:10" ht="27" customHeight="1">
      <c r="A117" s="304" t="s">
        <v>77</v>
      </c>
      <c r="B117" s="305"/>
      <c r="C117" s="257"/>
      <c r="D117" s="258"/>
      <c r="E117" s="259" t="s">
        <v>19</v>
      </c>
      <c r="F117" s="260">
        <f>COUNT(F108:F113)</f>
        <v>6</v>
      </c>
      <c r="I117" s="98"/>
      <c r="J117" s="236"/>
    </row>
    <row r="118" spans="1:10" ht="19.5" customHeight="1">
      <c r="A118" s="306"/>
      <c r="B118" s="307"/>
      <c r="C118" s="98"/>
      <c r="D118" s="98"/>
      <c r="E118" s="98"/>
      <c r="F118" s="197"/>
      <c r="G118" s="98"/>
      <c r="H118" s="98"/>
      <c r="I118" s="98"/>
    </row>
    <row r="119" spans="1:10" ht="18.75">
      <c r="A119" s="269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>
      <c r="A120" s="108" t="s">
        <v>105</v>
      </c>
      <c r="B120" s="204" t="s">
        <v>122</v>
      </c>
      <c r="C120" s="308" t="str">
        <f>B20</f>
        <v>Tenofovir Disoproxil Fumarate</v>
      </c>
      <c r="D120" s="308"/>
      <c r="E120" s="205" t="s">
        <v>123</v>
      </c>
      <c r="F120" s="205"/>
      <c r="G120" s="206">
        <f>F115</f>
        <v>0.98798076749974995</v>
      </c>
      <c r="H120" s="98"/>
      <c r="I120" s="98"/>
    </row>
    <row r="121" spans="1:10" ht="19.5" customHeight="1">
      <c r="A121" s="261"/>
      <c r="B121" s="261"/>
      <c r="C121" s="262"/>
      <c r="D121" s="262"/>
      <c r="E121" s="262"/>
      <c r="F121" s="262"/>
      <c r="G121" s="262"/>
      <c r="H121" s="262"/>
    </row>
    <row r="122" spans="1:10" ht="18.75">
      <c r="B122" s="309" t="s">
        <v>25</v>
      </c>
      <c r="C122" s="309"/>
      <c r="E122" s="211" t="s">
        <v>26</v>
      </c>
      <c r="F122" s="263"/>
      <c r="G122" s="309" t="s">
        <v>27</v>
      </c>
      <c r="H122" s="309"/>
    </row>
    <row r="123" spans="1:10" ht="69.95" customHeight="1">
      <c r="A123" s="264" t="s">
        <v>28</v>
      </c>
      <c r="B123" s="265" t="s">
        <v>125</v>
      </c>
      <c r="C123" s="265"/>
      <c r="E123" s="291">
        <v>42298</v>
      </c>
      <c r="F123" s="98"/>
      <c r="G123" s="266"/>
      <c r="H123" s="266"/>
    </row>
    <row r="124" spans="1:10" ht="69.95" customHeight="1">
      <c r="A124" s="264" t="s">
        <v>29</v>
      </c>
      <c r="B124" s="267"/>
      <c r="C124" s="267"/>
      <c r="E124" s="267"/>
      <c r="F124" s="98"/>
      <c r="G124" s="268"/>
      <c r="H124" s="268"/>
    </row>
    <row r="125" spans="1:10" ht="18.7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2</oddHeader>
    <oddFooter>&amp;LNQCL/ADDO/014&amp;CPage &amp;P of &amp;N&amp;R&amp;D &amp;T</oddFooter>
  </headerFooter>
  <rowBreaks count="1" manualBreakCount="1">
    <brk id="12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B16" zoomScaleNormal="100" zoomScaleSheetLayoutView="100" workbookViewId="0">
      <selection activeCell="B24" sqref="B24:E29"/>
    </sheetView>
  </sheetViews>
  <sheetFormatPr defaultRowHeight="13.5"/>
  <cols>
    <col min="1" max="1" width="27.5703125" style="227" customWidth="1"/>
    <col min="2" max="2" width="34.28515625" style="227" customWidth="1"/>
    <col min="3" max="3" width="31.85546875" style="227" customWidth="1"/>
    <col min="4" max="4" width="25.85546875" style="227" customWidth="1"/>
    <col min="5" max="5" width="25.7109375" style="227" customWidth="1"/>
    <col min="6" max="6" width="23.140625" style="227" customWidth="1"/>
    <col min="7" max="7" width="28.42578125" style="227" customWidth="1"/>
    <col min="8" max="8" width="21.5703125" style="227" customWidth="1"/>
    <col min="9" max="9" width="9.140625" style="227" customWidth="1"/>
    <col min="10" max="16384" width="9.140625" style="44"/>
  </cols>
  <sheetData>
    <row r="14" spans="1:6" ht="15" customHeight="1">
      <c r="A14" s="1"/>
      <c r="C14" s="3"/>
      <c r="F14" s="3"/>
    </row>
    <row r="15" spans="1:6" ht="18.75" customHeight="1">
      <c r="A15" s="292" t="s">
        <v>0</v>
      </c>
      <c r="B15" s="292"/>
      <c r="C15" s="292"/>
      <c r="D15" s="292"/>
      <c r="E15" s="292"/>
    </row>
    <row r="16" spans="1:6" ht="16.5" customHeight="1">
      <c r="A16" s="90" t="s">
        <v>1</v>
      </c>
      <c r="B16" s="59" t="s">
        <v>2</v>
      </c>
    </row>
    <row r="17" spans="1:5" ht="16.5" customHeight="1">
      <c r="A17" s="8" t="s">
        <v>3</v>
      </c>
      <c r="B17" s="8" t="s">
        <v>5</v>
      </c>
      <c r="D17" s="9"/>
      <c r="E17" s="72"/>
    </row>
    <row r="18" spans="1:5" ht="16.5" customHeight="1">
      <c r="A18" s="75" t="s">
        <v>4</v>
      </c>
      <c r="B18" s="12" t="s">
        <v>126</v>
      </c>
      <c r="C18" s="72"/>
      <c r="D18" s="72"/>
      <c r="E18" s="72"/>
    </row>
    <row r="19" spans="1:5" ht="16.5" customHeight="1">
      <c r="A19" s="75" t="s">
        <v>6</v>
      </c>
      <c r="B19" s="12">
        <v>101.74</v>
      </c>
      <c r="C19" s="72"/>
      <c r="D19" s="72"/>
      <c r="E19" s="72"/>
    </row>
    <row r="20" spans="1:5" ht="16.5" customHeight="1">
      <c r="A20" s="8" t="s">
        <v>8</v>
      </c>
      <c r="B20" s="9">
        <f>Lamivudine!D43</f>
        <v>17.68</v>
      </c>
      <c r="C20" s="72"/>
      <c r="D20" s="72"/>
      <c r="E20" s="72"/>
    </row>
    <row r="21" spans="1:5" ht="16.5" customHeight="1">
      <c r="A21" s="8" t="s">
        <v>10</v>
      </c>
      <c r="B21" s="13">
        <f>B20/10*1/25</f>
        <v>7.0720000000000005E-2</v>
      </c>
      <c r="C21" s="72"/>
      <c r="D21" s="72"/>
      <c r="E21" s="72"/>
    </row>
    <row r="22" spans="1:5" ht="15.75" customHeight="1">
      <c r="A22" s="72"/>
      <c r="B22" s="72"/>
      <c r="C22" s="72"/>
      <c r="D22" s="72"/>
      <c r="E22" s="72"/>
    </row>
    <row r="23" spans="1:5" ht="16.5" customHeight="1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>
      <c r="A24" s="17">
        <v>1</v>
      </c>
      <c r="B24" s="18">
        <v>64163478</v>
      </c>
      <c r="C24" s="18">
        <v>4310</v>
      </c>
      <c r="D24" s="19">
        <v>0.8</v>
      </c>
      <c r="E24" s="20">
        <v>3.4990000000000001</v>
      </c>
    </row>
    <row r="25" spans="1:5" ht="16.5" customHeight="1">
      <c r="A25" s="17">
        <v>2</v>
      </c>
      <c r="B25" s="18">
        <v>64387027</v>
      </c>
      <c r="C25" s="18">
        <v>4359.7</v>
      </c>
      <c r="D25" s="19">
        <v>0.8</v>
      </c>
      <c r="E25" s="19">
        <v>3.5089999999999999</v>
      </c>
    </row>
    <row r="26" spans="1:5" ht="16.5" customHeight="1">
      <c r="A26" s="17">
        <v>3</v>
      </c>
      <c r="B26" s="18">
        <v>64780244</v>
      </c>
      <c r="C26" s="18">
        <v>4363.6000000000004</v>
      </c>
      <c r="D26" s="19">
        <v>0.8</v>
      </c>
      <c r="E26" s="19">
        <v>3.5139999999999998</v>
      </c>
    </row>
    <row r="27" spans="1:5" ht="16.5" customHeight="1">
      <c r="A27" s="17">
        <v>4</v>
      </c>
      <c r="B27" s="18">
        <v>66156474</v>
      </c>
      <c r="C27" s="18">
        <v>4418.6000000000004</v>
      </c>
      <c r="D27" s="19">
        <v>0.8</v>
      </c>
      <c r="E27" s="19">
        <v>3.5619999999999998</v>
      </c>
    </row>
    <row r="28" spans="1:5" ht="16.5" customHeight="1">
      <c r="A28" s="17">
        <v>5</v>
      </c>
      <c r="B28" s="18">
        <v>65151325</v>
      </c>
      <c r="C28" s="18">
        <v>4341.8</v>
      </c>
      <c r="D28" s="19">
        <v>0.8</v>
      </c>
      <c r="E28" s="19">
        <v>3.5190000000000001</v>
      </c>
    </row>
    <row r="29" spans="1:5" ht="16.5" customHeight="1">
      <c r="A29" s="17">
        <v>6</v>
      </c>
      <c r="B29" s="21">
        <v>65898535</v>
      </c>
      <c r="C29" s="21">
        <v>4384.3</v>
      </c>
      <c r="D29" s="22">
        <v>0.8</v>
      </c>
      <c r="E29" s="22">
        <v>3.548</v>
      </c>
    </row>
    <row r="30" spans="1:5" ht="16.5" customHeight="1">
      <c r="A30" s="23" t="s">
        <v>17</v>
      </c>
      <c r="B30" s="24">
        <f>AVERAGE(B24:B29)</f>
        <v>65089513.833333336</v>
      </c>
      <c r="C30" s="25">
        <f>AVERAGE(C24:C29)</f>
        <v>4363</v>
      </c>
      <c r="D30" s="26">
        <f>AVERAGE(D24:D29)</f>
        <v>0.79999999999999993</v>
      </c>
      <c r="E30" s="26">
        <f>AVERAGE(E24:E29)</f>
        <v>3.5251666666666672</v>
      </c>
    </row>
    <row r="31" spans="1:5" ht="16.5" customHeight="1">
      <c r="A31" s="27" t="s">
        <v>18</v>
      </c>
      <c r="B31" s="28">
        <f>(STDEV(B24:B29)/B30)</f>
        <v>1.2373866288992796E-2</v>
      </c>
      <c r="C31" s="29"/>
      <c r="D31" s="29"/>
      <c r="E31" s="30"/>
    </row>
    <row r="32" spans="1:5" s="227" customFormat="1" ht="16.5" customHeight="1">
      <c r="A32" s="31" t="s">
        <v>19</v>
      </c>
      <c r="B32" s="32">
        <f>COUNT(B24:B29)</f>
        <v>6</v>
      </c>
      <c r="C32" s="33"/>
      <c r="D32" s="73"/>
      <c r="E32" s="35"/>
    </row>
    <row r="33" spans="1:5" s="227" customFormat="1" ht="15.75" customHeight="1">
      <c r="A33" s="72"/>
      <c r="B33" s="72"/>
      <c r="C33" s="72"/>
      <c r="D33" s="72"/>
      <c r="E33" s="72"/>
    </row>
    <row r="34" spans="1:5" s="227" customFormat="1" ht="16.5" customHeight="1">
      <c r="A34" s="75" t="s">
        <v>20</v>
      </c>
      <c r="B34" s="40" t="s">
        <v>21</v>
      </c>
      <c r="C34" s="39"/>
      <c r="D34" s="39"/>
      <c r="E34" s="39"/>
    </row>
    <row r="35" spans="1:5" ht="16.5" customHeight="1">
      <c r="A35" s="75"/>
      <c r="B35" s="40" t="s">
        <v>22</v>
      </c>
      <c r="C35" s="39"/>
      <c r="D35" s="39"/>
      <c r="E35" s="39"/>
    </row>
    <row r="36" spans="1:5" ht="16.5" customHeight="1">
      <c r="A36" s="75"/>
      <c r="B36" s="40" t="s">
        <v>23</v>
      </c>
      <c r="C36" s="39"/>
      <c r="D36" s="39"/>
      <c r="E36" s="39"/>
    </row>
    <row r="37" spans="1:5" ht="15.75" customHeight="1">
      <c r="A37" s="72"/>
      <c r="B37" s="72"/>
      <c r="C37" s="72"/>
      <c r="D37" s="72"/>
      <c r="E37" s="72"/>
    </row>
    <row r="38" spans="1:5" ht="16.5" customHeight="1">
      <c r="A38" s="90" t="s">
        <v>1</v>
      </c>
      <c r="B38" s="59" t="s">
        <v>24</v>
      </c>
    </row>
    <row r="39" spans="1:5" ht="16.5" customHeight="1">
      <c r="A39" s="75" t="s">
        <v>4</v>
      </c>
      <c r="B39" s="288" t="str">
        <f>B18</f>
        <v>Lamivudine</v>
      </c>
      <c r="C39" s="72"/>
      <c r="D39" s="72"/>
      <c r="E39" s="72"/>
    </row>
    <row r="40" spans="1:5" ht="16.5" customHeight="1">
      <c r="A40" s="75" t="s">
        <v>6</v>
      </c>
      <c r="B40" s="12">
        <f>B19</f>
        <v>101.74</v>
      </c>
      <c r="C40" s="72"/>
      <c r="D40" s="72"/>
      <c r="E40" s="72"/>
    </row>
    <row r="41" spans="1:5" ht="16.5" customHeight="1">
      <c r="A41" s="8" t="s">
        <v>8</v>
      </c>
      <c r="B41" s="12">
        <f>B20</f>
        <v>17.68</v>
      </c>
      <c r="C41" s="72"/>
      <c r="D41" s="72"/>
      <c r="E41" s="72"/>
    </row>
    <row r="42" spans="1:5" ht="16.5" customHeight="1">
      <c r="A42" s="8" t="s">
        <v>10</v>
      </c>
      <c r="B42" s="13">
        <f>B21</f>
        <v>7.0720000000000005E-2</v>
      </c>
      <c r="C42" s="72"/>
      <c r="D42" s="72"/>
      <c r="E42" s="72"/>
    </row>
    <row r="43" spans="1:5" ht="15.75" customHeight="1">
      <c r="A43" s="72"/>
      <c r="B43" s="72"/>
      <c r="C43" s="72"/>
      <c r="D43" s="72"/>
      <c r="E43" s="72"/>
    </row>
    <row r="44" spans="1:5" ht="16.5" customHeight="1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>
      <c r="A45" s="17">
        <v>1</v>
      </c>
      <c r="B45" s="18">
        <v>64163478</v>
      </c>
      <c r="C45" s="18">
        <v>4310</v>
      </c>
      <c r="D45" s="19">
        <v>0.8</v>
      </c>
      <c r="E45" s="20">
        <v>3.5</v>
      </c>
    </row>
    <row r="46" spans="1:5" ht="16.5" customHeight="1">
      <c r="A46" s="17">
        <v>2</v>
      </c>
      <c r="B46" s="18">
        <v>64387027</v>
      </c>
      <c r="C46" s="18">
        <v>4359.7</v>
      </c>
      <c r="D46" s="19">
        <v>0.8</v>
      </c>
      <c r="E46" s="19">
        <v>3.5</v>
      </c>
    </row>
    <row r="47" spans="1:5" ht="16.5" customHeight="1">
      <c r="A47" s="17">
        <v>3</v>
      </c>
      <c r="B47" s="18">
        <v>64780244</v>
      </c>
      <c r="C47" s="18">
        <v>4363.6000000000004</v>
      </c>
      <c r="D47" s="19">
        <v>0.8</v>
      </c>
      <c r="E47" s="19">
        <v>3.5</v>
      </c>
    </row>
    <row r="48" spans="1:5" ht="16.5" customHeight="1">
      <c r="A48" s="17">
        <v>4</v>
      </c>
      <c r="B48" s="18">
        <v>66156474</v>
      </c>
      <c r="C48" s="18">
        <v>4418.6000000000004</v>
      </c>
      <c r="D48" s="19">
        <v>0.8</v>
      </c>
      <c r="E48" s="19">
        <v>3.5</v>
      </c>
    </row>
    <row r="49" spans="1:7" ht="16.5" customHeight="1">
      <c r="A49" s="17">
        <v>5</v>
      </c>
      <c r="B49" s="18">
        <v>65151325</v>
      </c>
      <c r="C49" s="18">
        <v>4341.8</v>
      </c>
      <c r="D49" s="19">
        <v>0.8</v>
      </c>
      <c r="E49" s="19">
        <v>3.5</v>
      </c>
    </row>
    <row r="50" spans="1:7" ht="16.5" customHeight="1">
      <c r="A50" s="17">
        <v>6</v>
      </c>
      <c r="B50" s="21">
        <v>65898535</v>
      </c>
      <c r="C50" s="21">
        <v>4384.3</v>
      </c>
      <c r="D50" s="22">
        <v>0.8</v>
      </c>
      <c r="E50" s="22">
        <v>3.5</v>
      </c>
    </row>
    <row r="51" spans="1:7" ht="16.5" customHeight="1">
      <c r="A51" s="23" t="s">
        <v>17</v>
      </c>
      <c r="B51" s="24">
        <f>AVERAGE(B45:B50)</f>
        <v>65089513.833333336</v>
      </c>
      <c r="C51" s="25">
        <f>AVERAGE(C45:C50)</f>
        <v>4363</v>
      </c>
      <c r="D51" s="26">
        <f>AVERAGE(D45:D50)</f>
        <v>0.79999999999999993</v>
      </c>
      <c r="E51" s="26">
        <f>AVERAGE(E45:E50)</f>
        <v>3.5</v>
      </c>
    </row>
    <row r="52" spans="1:7" ht="16.5" customHeight="1">
      <c r="A52" s="27" t="s">
        <v>18</v>
      </c>
      <c r="B52" s="28">
        <f>(STDEV(B45:B50)/B51)</f>
        <v>1.2373866288992796E-2</v>
      </c>
      <c r="C52" s="29"/>
      <c r="D52" s="29"/>
      <c r="E52" s="30"/>
    </row>
    <row r="53" spans="1:7" s="227" customFormat="1" ht="16.5" customHeight="1">
      <c r="A53" s="31" t="s">
        <v>19</v>
      </c>
      <c r="B53" s="32">
        <f>COUNT(B45:B50)</f>
        <v>6</v>
      </c>
      <c r="C53" s="33"/>
      <c r="D53" s="73"/>
      <c r="E53" s="35"/>
    </row>
    <row r="54" spans="1:7" s="227" customFormat="1" ht="15.75" customHeight="1">
      <c r="A54" s="72"/>
      <c r="B54" s="72"/>
      <c r="C54" s="72"/>
      <c r="D54" s="72"/>
      <c r="E54" s="72"/>
    </row>
    <row r="55" spans="1:7" s="227" customFormat="1" ht="16.5" customHeight="1">
      <c r="A55" s="75" t="s">
        <v>20</v>
      </c>
      <c r="B55" s="40" t="s">
        <v>21</v>
      </c>
      <c r="C55" s="39"/>
      <c r="D55" s="39"/>
      <c r="E55" s="39"/>
    </row>
    <row r="56" spans="1:7" ht="16.5" customHeight="1">
      <c r="A56" s="75"/>
      <c r="B56" s="40" t="s">
        <v>22</v>
      </c>
      <c r="C56" s="39"/>
      <c r="D56" s="39"/>
      <c r="E56" s="39"/>
    </row>
    <row r="57" spans="1:7" ht="16.5" customHeight="1">
      <c r="A57" s="75"/>
      <c r="B57" s="40" t="s">
        <v>23</v>
      </c>
      <c r="C57" s="39"/>
      <c r="D57" s="39"/>
      <c r="E57" s="39"/>
    </row>
    <row r="58" spans="1:7" ht="14.25" customHeight="1" thickBot="1">
      <c r="A58" s="41"/>
      <c r="B58" s="150"/>
      <c r="D58" s="43"/>
      <c r="F58" s="44"/>
      <c r="G58" s="44"/>
    </row>
    <row r="59" spans="1:7" ht="15" customHeight="1">
      <c r="B59" s="293" t="s">
        <v>25</v>
      </c>
      <c r="C59" s="293"/>
      <c r="E59" s="45" t="s">
        <v>26</v>
      </c>
      <c r="F59" s="46"/>
      <c r="G59" s="45" t="s">
        <v>27</v>
      </c>
    </row>
    <row r="60" spans="1:7" ht="15" customHeight="1">
      <c r="A60" s="47" t="s">
        <v>28</v>
      </c>
      <c r="B60" s="49" t="s">
        <v>125</v>
      </c>
      <c r="C60" s="49"/>
      <c r="E60" s="289">
        <v>42045</v>
      </c>
      <c r="G60" s="49"/>
    </row>
    <row r="61" spans="1:7" ht="15" customHeight="1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60" zoomScaleNormal="40" zoomScalePageLayoutView="50" workbookViewId="0">
      <selection activeCell="H74" sqref="H74"/>
    </sheetView>
  </sheetViews>
  <sheetFormatPr defaultColWidth="9.140625" defaultRowHeight="13.5"/>
  <cols>
    <col min="1" max="1" width="55.42578125" style="227" customWidth="1"/>
    <col min="2" max="2" width="33.7109375" style="227" customWidth="1"/>
    <col min="3" max="3" width="42.28515625" style="227" customWidth="1"/>
    <col min="4" max="4" width="30.5703125" style="227" customWidth="1"/>
    <col min="5" max="5" width="39.85546875" style="227" customWidth="1"/>
    <col min="6" max="6" width="30.7109375" style="227" customWidth="1"/>
    <col min="7" max="7" width="39.85546875" style="227" customWidth="1"/>
    <col min="8" max="8" width="30" style="227" customWidth="1"/>
    <col min="9" max="9" width="30.28515625" style="227" hidden="1" customWidth="1"/>
    <col min="10" max="10" width="30.42578125" style="227" customWidth="1"/>
    <col min="11" max="11" width="21.28515625" style="227" customWidth="1"/>
    <col min="12" max="12" width="9.140625" style="227"/>
    <col min="13" max="16384" width="9.140625" style="44"/>
  </cols>
  <sheetData>
    <row r="1" spans="1:9" ht="18.75" customHeight="1">
      <c r="A1" s="302" t="s">
        <v>44</v>
      </c>
      <c r="B1" s="302"/>
      <c r="C1" s="302"/>
      <c r="D1" s="302"/>
      <c r="E1" s="302"/>
      <c r="F1" s="302"/>
      <c r="G1" s="302"/>
      <c r="H1" s="302"/>
      <c r="I1" s="302"/>
    </row>
    <row r="2" spans="1:9" ht="18.75" customHeight="1">
      <c r="A2" s="302"/>
      <c r="B2" s="302"/>
      <c r="C2" s="302"/>
      <c r="D2" s="302"/>
      <c r="E2" s="302"/>
      <c r="F2" s="302"/>
      <c r="G2" s="302"/>
      <c r="H2" s="302"/>
      <c r="I2" s="302"/>
    </row>
    <row r="3" spans="1:9" ht="18.75" customHeight="1">
      <c r="A3" s="302"/>
      <c r="B3" s="302"/>
      <c r="C3" s="302"/>
      <c r="D3" s="302"/>
      <c r="E3" s="302"/>
      <c r="F3" s="302"/>
      <c r="G3" s="302"/>
      <c r="H3" s="302"/>
      <c r="I3" s="302"/>
    </row>
    <row r="4" spans="1:9" ht="18.75" customHeight="1">
      <c r="A4" s="302"/>
      <c r="B4" s="302"/>
      <c r="C4" s="302"/>
      <c r="D4" s="302"/>
      <c r="E4" s="302"/>
      <c r="F4" s="302"/>
      <c r="G4" s="302"/>
      <c r="H4" s="302"/>
      <c r="I4" s="302"/>
    </row>
    <row r="5" spans="1:9" ht="18.75" customHeight="1">
      <c r="A5" s="302"/>
      <c r="B5" s="302"/>
      <c r="C5" s="302"/>
      <c r="D5" s="302"/>
      <c r="E5" s="302"/>
      <c r="F5" s="302"/>
      <c r="G5" s="302"/>
      <c r="H5" s="302"/>
      <c r="I5" s="302"/>
    </row>
    <row r="6" spans="1:9" ht="18.75" customHeight="1">
      <c r="A6" s="302"/>
      <c r="B6" s="302"/>
      <c r="C6" s="302"/>
      <c r="D6" s="302"/>
      <c r="E6" s="302"/>
      <c r="F6" s="302"/>
      <c r="G6" s="302"/>
      <c r="H6" s="302"/>
      <c r="I6" s="302"/>
    </row>
    <row r="7" spans="1:9" ht="18.75" customHeight="1">
      <c r="A7" s="302"/>
      <c r="B7" s="302"/>
      <c r="C7" s="302"/>
      <c r="D7" s="302"/>
      <c r="E7" s="302"/>
      <c r="F7" s="302"/>
      <c r="G7" s="302"/>
      <c r="H7" s="302"/>
      <c r="I7" s="302"/>
    </row>
    <row r="8" spans="1:9">
      <c r="A8" s="303" t="s">
        <v>45</v>
      </c>
      <c r="B8" s="303"/>
      <c r="C8" s="303"/>
      <c r="D8" s="303"/>
      <c r="E8" s="303"/>
      <c r="F8" s="303"/>
      <c r="G8" s="303"/>
      <c r="H8" s="303"/>
      <c r="I8" s="303"/>
    </row>
    <row r="9" spans="1:9">
      <c r="A9" s="303"/>
      <c r="B9" s="303"/>
      <c r="C9" s="303"/>
      <c r="D9" s="303"/>
      <c r="E9" s="303"/>
      <c r="F9" s="303"/>
      <c r="G9" s="303"/>
      <c r="H9" s="303"/>
      <c r="I9" s="303"/>
    </row>
    <row r="10" spans="1:9">
      <c r="A10" s="303"/>
      <c r="B10" s="303"/>
      <c r="C10" s="303"/>
      <c r="D10" s="303"/>
      <c r="E10" s="303"/>
      <c r="F10" s="303"/>
      <c r="G10" s="303"/>
      <c r="H10" s="303"/>
      <c r="I10" s="303"/>
    </row>
    <row r="11" spans="1:9">
      <c r="A11" s="303"/>
      <c r="B11" s="303"/>
      <c r="C11" s="303"/>
      <c r="D11" s="303"/>
      <c r="E11" s="303"/>
      <c r="F11" s="303"/>
      <c r="G11" s="303"/>
      <c r="H11" s="303"/>
      <c r="I11" s="303"/>
    </row>
    <row r="12" spans="1:9">
      <c r="A12" s="303"/>
      <c r="B12" s="303"/>
      <c r="C12" s="303"/>
      <c r="D12" s="303"/>
      <c r="E12" s="303"/>
      <c r="F12" s="303"/>
      <c r="G12" s="303"/>
      <c r="H12" s="303"/>
      <c r="I12" s="303"/>
    </row>
    <row r="13" spans="1:9">
      <c r="A13" s="303"/>
      <c r="B13" s="303"/>
      <c r="C13" s="303"/>
      <c r="D13" s="303"/>
      <c r="E13" s="303"/>
      <c r="F13" s="303"/>
      <c r="G13" s="303"/>
      <c r="H13" s="303"/>
      <c r="I13" s="303"/>
    </row>
    <row r="14" spans="1:9">
      <c r="A14" s="303"/>
      <c r="B14" s="303"/>
      <c r="C14" s="303"/>
      <c r="D14" s="303"/>
      <c r="E14" s="303"/>
      <c r="F14" s="303"/>
      <c r="G14" s="303"/>
      <c r="H14" s="303"/>
      <c r="I14" s="303"/>
    </row>
    <row r="15" spans="1:9" ht="19.5" customHeight="1" thickBot="1">
      <c r="A15" s="205"/>
    </row>
    <row r="16" spans="1:9" ht="19.5" customHeight="1" thickBot="1">
      <c r="A16" s="336" t="s">
        <v>30</v>
      </c>
      <c r="B16" s="337"/>
      <c r="C16" s="337"/>
      <c r="D16" s="337"/>
      <c r="E16" s="337"/>
      <c r="F16" s="337"/>
      <c r="G16" s="337"/>
      <c r="H16" s="338"/>
    </row>
    <row r="17" spans="1:14" ht="20.25" customHeight="1">
      <c r="A17" s="339" t="s">
        <v>46</v>
      </c>
      <c r="B17" s="339"/>
      <c r="C17" s="339"/>
      <c r="D17" s="339"/>
      <c r="E17" s="339"/>
      <c r="F17" s="339"/>
      <c r="G17" s="339"/>
      <c r="H17" s="339"/>
    </row>
    <row r="18" spans="1:14" ht="26.25" customHeight="1">
      <c r="A18" s="100" t="s">
        <v>32</v>
      </c>
      <c r="B18" s="335" t="s">
        <v>5</v>
      </c>
      <c r="C18" s="335"/>
      <c r="D18" s="270"/>
      <c r="E18" s="101"/>
      <c r="F18" s="102"/>
      <c r="G18" s="102"/>
      <c r="H18" s="102"/>
    </row>
    <row r="19" spans="1:14" ht="26.25" customHeight="1">
      <c r="A19" s="100" t="s">
        <v>33</v>
      </c>
      <c r="B19" s="286" t="s">
        <v>7</v>
      </c>
      <c r="C19" s="272">
        <v>1</v>
      </c>
      <c r="D19" s="102"/>
      <c r="E19" s="102"/>
      <c r="F19" s="102"/>
      <c r="G19" s="102"/>
      <c r="H19" s="102"/>
    </row>
    <row r="20" spans="1:14" ht="26.25" customHeight="1">
      <c r="A20" s="100" t="s">
        <v>34</v>
      </c>
      <c r="B20" s="340" t="s">
        <v>126</v>
      </c>
      <c r="C20" s="340"/>
      <c r="D20" s="102"/>
      <c r="E20" s="102"/>
      <c r="F20" s="102"/>
      <c r="G20" s="102"/>
      <c r="H20" s="102"/>
    </row>
    <row r="21" spans="1:14" ht="26.25" customHeight="1">
      <c r="A21" s="100" t="s">
        <v>35</v>
      </c>
      <c r="B21" s="340" t="s">
        <v>11</v>
      </c>
      <c r="C21" s="340"/>
      <c r="D21" s="340"/>
      <c r="E21" s="340"/>
      <c r="F21" s="340"/>
      <c r="G21" s="340"/>
      <c r="H21" s="340"/>
      <c r="I21" s="104"/>
    </row>
    <row r="22" spans="1:14" ht="26.25" customHeight="1">
      <c r="A22" s="100" t="s">
        <v>36</v>
      </c>
      <c r="B22" s="105">
        <v>42258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264" t="s">
        <v>4</v>
      </c>
      <c r="B26" s="335" t="s">
        <v>126</v>
      </c>
      <c r="C26" s="335"/>
    </row>
    <row r="27" spans="1:14" ht="26.25" customHeight="1">
      <c r="A27" s="216" t="s">
        <v>47</v>
      </c>
      <c r="B27" s="333" t="s">
        <v>129</v>
      </c>
      <c r="C27" s="333"/>
    </row>
    <row r="28" spans="1:14" ht="27" customHeight="1" thickBot="1">
      <c r="A28" s="216" t="s">
        <v>6</v>
      </c>
      <c r="B28" s="208">
        <v>101.74</v>
      </c>
    </row>
    <row r="29" spans="1:14" s="16" customFormat="1" ht="27" customHeight="1" thickBot="1">
      <c r="A29" s="216" t="s">
        <v>48</v>
      </c>
      <c r="B29" s="111">
        <v>0</v>
      </c>
      <c r="C29" s="310" t="s">
        <v>49</v>
      </c>
      <c r="D29" s="311"/>
      <c r="E29" s="311"/>
      <c r="F29" s="311"/>
      <c r="G29" s="312"/>
      <c r="I29" s="112"/>
      <c r="J29" s="112"/>
      <c r="K29" s="112"/>
      <c r="L29" s="112"/>
    </row>
    <row r="30" spans="1:14" s="16" customFormat="1" ht="19.5" customHeight="1" thickBot="1">
      <c r="A30" s="216" t="s">
        <v>50</v>
      </c>
      <c r="B30" s="282">
        <f>B28-B29</f>
        <v>101.74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6" customFormat="1" ht="27" customHeight="1" thickBot="1">
      <c r="A31" s="216" t="s">
        <v>51</v>
      </c>
      <c r="B31" s="116">
        <v>1</v>
      </c>
      <c r="C31" s="313" t="s">
        <v>52</v>
      </c>
      <c r="D31" s="314"/>
      <c r="E31" s="314"/>
      <c r="F31" s="314"/>
      <c r="G31" s="314"/>
      <c r="H31" s="315"/>
      <c r="I31" s="112"/>
      <c r="J31" s="112"/>
      <c r="K31" s="112"/>
      <c r="L31" s="112"/>
    </row>
    <row r="32" spans="1:14" s="16" customFormat="1" ht="27" customHeight="1" thickBot="1">
      <c r="A32" s="216" t="s">
        <v>53</v>
      </c>
      <c r="B32" s="116">
        <v>1</v>
      </c>
      <c r="C32" s="313" t="s">
        <v>54</v>
      </c>
      <c r="D32" s="314"/>
      <c r="E32" s="314"/>
      <c r="F32" s="314"/>
      <c r="G32" s="314"/>
      <c r="H32" s="315"/>
      <c r="I32" s="112"/>
      <c r="J32" s="112"/>
      <c r="K32" s="112"/>
      <c r="L32" s="117"/>
      <c r="M32" s="117"/>
      <c r="N32" s="118"/>
    </row>
    <row r="33" spans="1:14" s="16" customFormat="1" ht="17.25" customHeight="1">
      <c r="A33" s="216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6" customFormat="1" ht="18.75">
      <c r="A34" s="216" t="s">
        <v>55</v>
      </c>
      <c r="B34" s="121">
        <f>B31/B32</f>
        <v>1</v>
      </c>
      <c r="C34" s="205" t="s">
        <v>56</v>
      </c>
      <c r="D34" s="205"/>
      <c r="E34" s="205"/>
      <c r="F34" s="205"/>
      <c r="G34" s="205"/>
      <c r="I34" s="112"/>
      <c r="J34" s="112"/>
      <c r="K34" s="112"/>
      <c r="L34" s="117"/>
      <c r="M34" s="117"/>
      <c r="N34" s="118"/>
    </row>
    <row r="35" spans="1:14" s="16" customFormat="1" ht="19.5" customHeight="1" thickBot="1">
      <c r="A35" s="216"/>
      <c r="B35" s="282"/>
      <c r="G35" s="205"/>
      <c r="I35" s="112"/>
      <c r="J35" s="112"/>
      <c r="K35" s="112"/>
      <c r="L35" s="117"/>
      <c r="M35" s="117"/>
      <c r="N35" s="118"/>
    </row>
    <row r="36" spans="1:14" s="16" customFormat="1" ht="27" customHeight="1" thickBot="1">
      <c r="A36" s="122" t="s">
        <v>57</v>
      </c>
      <c r="B36" s="123">
        <v>10</v>
      </c>
      <c r="C36" s="205"/>
      <c r="D36" s="316" t="s">
        <v>58</v>
      </c>
      <c r="E36" s="334"/>
      <c r="F36" s="316" t="s">
        <v>59</v>
      </c>
      <c r="G36" s="317"/>
      <c r="J36" s="112"/>
      <c r="K36" s="112"/>
      <c r="L36" s="117"/>
      <c r="M36" s="117"/>
      <c r="N36" s="118"/>
    </row>
    <row r="37" spans="1:14" s="16" customFormat="1" ht="27" customHeight="1" thickBot="1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6" customFormat="1" ht="26.25" customHeight="1">
      <c r="A38" s="124" t="s">
        <v>65</v>
      </c>
      <c r="B38" s="125">
        <v>25</v>
      </c>
      <c r="C38" s="131">
        <v>1</v>
      </c>
      <c r="D38" s="132">
        <v>65229936</v>
      </c>
      <c r="E38" s="133">
        <f>IF(ISBLANK(D38),"-",$D$48/$D$45*D38)</f>
        <v>54395655.859537274</v>
      </c>
      <c r="F38" s="132">
        <v>53316350</v>
      </c>
      <c r="G38" s="134">
        <f>IF(ISBLANK(F38),"-",$D$48/$F$45*F38)</f>
        <v>54174202.101897016</v>
      </c>
      <c r="I38" s="135"/>
      <c r="J38" s="112"/>
      <c r="K38" s="112"/>
      <c r="L38" s="117"/>
      <c r="M38" s="117"/>
      <c r="N38" s="118"/>
    </row>
    <row r="39" spans="1:14" s="16" customFormat="1" ht="26.25" customHeight="1">
      <c r="A39" s="124" t="s">
        <v>66</v>
      </c>
      <c r="B39" s="125">
        <v>1</v>
      </c>
      <c r="C39" s="156">
        <v>2</v>
      </c>
      <c r="D39" s="137">
        <v>65969206</v>
      </c>
      <c r="E39" s="138">
        <f>IF(ISBLANK(D39),"-",$D$48/$D$45*D39)</f>
        <v>55012137.784451008</v>
      </c>
      <c r="F39" s="137">
        <v>54158136</v>
      </c>
      <c r="G39" s="139">
        <f>IF(ISBLANK(F39),"-",$D$48/$F$45*F39)</f>
        <v>55029532.312808819</v>
      </c>
      <c r="I39" s="318">
        <f>ABS((F43/D43*D42)-F42)/D42</f>
        <v>1.7762437854430665E-3</v>
      </c>
      <c r="J39" s="112"/>
      <c r="K39" s="112"/>
      <c r="L39" s="117"/>
      <c r="M39" s="117"/>
      <c r="N39" s="118"/>
    </row>
    <row r="40" spans="1:14" ht="26.25" customHeight="1">
      <c r="A40" s="124" t="s">
        <v>67</v>
      </c>
      <c r="B40" s="125">
        <v>1</v>
      </c>
      <c r="C40" s="156">
        <v>3</v>
      </c>
      <c r="D40" s="137">
        <v>66124069</v>
      </c>
      <c r="E40" s="138">
        <f>IF(ISBLANK(D40),"-",$D$48/$D$45*D40)</f>
        <v>55141279.018828057</v>
      </c>
      <c r="F40" s="137">
        <v>54118447</v>
      </c>
      <c r="G40" s="139">
        <f>IF(ISBLANK(F40),"-",$D$48/$F$45*F40)</f>
        <v>54989204.722731441</v>
      </c>
      <c r="I40" s="318"/>
      <c r="L40" s="117"/>
      <c r="M40" s="117"/>
      <c r="N40" s="205"/>
    </row>
    <row r="41" spans="1:14" ht="27" customHeight="1" thickBot="1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205"/>
    </row>
    <row r="42" spans="1:14" ht="27" customHeight="1" thickBot="1">
      <c r="A42" s="124" t="s">
        <v>69</v>
      </c>
      <c r="B42" s="125">
        <v>1</v>
      </c>
      <c r="C42" s="146" t="s">
        <v>70</v>
      </c>
      <c r="D42" s="147">
        <f>AVERAGE(D38:D41)</f>
        <v>65774403.666666664</v>
      </c>
      <c r="E42" s="148">
        <f>AVERAGE(E38:E41)</f>
        <v>54849690.887605451</v>
      </c>
      <c r="F42" s="147">
        <f>AVERAGE(F38:F41)</f>
        <v>53864311</v>
      </c>
      <c r="G42" s="149">
        <f>AVERAGE(G38:G41)</f>
        <v>54730979.712479092</v>
      </c>
      <c r="H42" s="150"/>
    </row>
    <row r="43" spans="1:14" ht="26.25" customHeight="1">
      <c r="A43" s="124" t="s">
        <v>71</v>
      </c>
      <c r="B43" s="125">
        <v>1</v>
      </c>
      <c r="C43" s="151" t="s">
        <v>72</v>
      </c>
      <c r="D43" s="152">
        <v>17.68</v>
      </c>
      <c r="E43" s="205"/>
      <c r="F43" s="152">
        <v>14.51</v>
      </c>
      <c r="H43" s="150"/>
    </row>
    <row r="44" spans="1:14" ht="26.25" customHeight="1">
      <c r="A44" s="124" t="s">
        <v>73</v>
      </c>
      <c r="B44" s="125">
        <v>1</v>
      </c>
      <c r="C44" s="153" t="s">
        <v>74</v>
      </c>
      <c r="D44" s="154">
        <f>D43*$B$34</f>
        <v>17.68</v>
      </c>
      <c r="E44" s="224"/>
      <c r="F44" s="154">
        <f>F43*$B$34</f>
        <v>14.51</v>
      </c>
      <c r="H44" s="150"/>
    </row>
    <row r="45" spans="1:14" ht="19.5" customHeight="1" thickBot="1">
      <c r="A45" s="124" t="s">
        <v>75</v>
      </c>
      <c r="B45" s="156">
        <f>(B44/B43)*(B42/B41)*(B40/B39)*(B38/B37)*B36</f>
        <v>250</v>
      </c>
      <c r="C45" s="153" t="s">
        <v>76</v>
      </c>
      <c r="D45" s="157">
        <f>D44*$B$30/100</f>
        <v>17.987631999999998</v>
      </c>
      <c r="E45" s="201"/>
      <c r="F45" s="157">
        <f>F44*$B$30/100</f>
        <v>14.762473999999999</v>
      </c>
      <c r="H45" s="150"/>
    </row>
    <row r="46" spans="1:14" ht="19.5" customHeight="1" thickBot="1">
      <c r="A46" s="304" t="s">
        <v>77</v>
      </c>
      <c r="B46" s="305"/>
      <c r="C46" s="153" t="s">
        <v>78</v>
      </c>
      <c r="D46" s="159">
        <f>D45/$B$45</f>
        <v>7.1950527999999986E-2</v>
      </c>
      <c r="E46" s="160"/>
      <c r="F46" s="161">
        <f>F45/$B$45</f>
        <v>5.9049895999999998E-2</v>
      </c>
      <c r="H46" s="150"/>
    </row>
    <row r="47" spans="1:14" ht="27" customHeight="1" thickBot="1">
      <c r="A47" s="306"/>
      <c r="B47" s="307"/>
      <c r="C47" s="162" t="s">
        <v>79</v>
      </c>
      <c r="D47" s="163">
        <v>0.06</v>
      </c>
      <c r="E47" s="164"/>
      <c r="F47" s="160"/>
      <c r="H47" s="150"/>
    </row>
    <row r="48" spans="1:14" ht="18.75">
      <c r="C48" s="165" t="s">
        <v>80</v>
      </c>
      <c r="D48" s="157">
        <f>D47*$B$45</f>
        <v>15</v>
      </c>
      <c r="F48" s="166"/>
      <c r="H48" s="150"/>
    </row>
    <row r="49" spans="1:12" ht="19.5" customHeight="1" thickBot="1">
      <c r="C49" s="167" t="s">
        <v>81</v>
      </c>
      <c r="D49" s="168">
        <f>D48/B34</f>
        <v>15</v>
      </c>
      <c r="F49" s="166"/>
      <c r="H49" s="150"/>
    </row>
    <row r="50" spans="1:12" ht="18.75">
      <c r="C50" s="122" t="s">
        <v>82</v>
      </c>
      <c r="D50" s="169">
        <f>AVERAGE(E38:E41,G38:G41)</f>
        <v>54790335.300042272</v>
      </c>
      <c r="F50" s="170"/>
      <c r="H50" s="150"/>
    </row>
    <row r="51" spans="1:12" ht="18.75">
      <c r="C51" s="124" t="s">
        <v>83</v>
      </c>
      <c r="D51" s="171">
        <f>STDEV(E38:E41,G38:G41)/D50</f>
        <v>7.3211256784873934E-3</v>
      </c>
      <c r="F51" s="170"/>
      <c r="H51" s="150"/>
    </row>
    <row r="52" spans="1:12" ht="19.5" customHeight="1" thickBot="1">
      <c r="C52" s="172" t="s">
        <v>19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84</v>
      </c>
    </row>
    <row r="55" spans="1:12" ht="18.75">
      <c r="A55" s="205" t="s">
        <v>85</v>
      </c>
      <c r="B55" s="177" t="str">
        <f>B21</f>
        <v>Each film coated  tablet contains Lamivudine USP 300mg and Tenofovir Disoproxil Fumarate 300mg equivalent to Tenofovir Disproxil 245 mg</v>
      </c>
    </row>
    <row r="56" spans="1:12" ht="26.25" customHeight="1">
      <c r="A56" s="177" t="s">
        <v>86</v>
      </c>
      <c r="B56" s="178">
        <v>300</v>
      </c>
      <c r="C56" s="205" t="str">
        <f>B20</f>
        <v>Lamivudine</v>
      </c>
      <c r="H56" s="224"/>
    </row>
    <row r="57" spans="1:12" ht="18.75">
      <c r="A57" s="177" t="s">
        <v>87</v>
      </c>
      <c r="B57" s="271">
        <f>Uniformity!C46</f>
        <v>1100.0899999999997</v>
      </c>
      <c r="H57" s="224"/>
    </row>
    <row r="58" spans="1:12" ht="19.5" customHeight="1" thickBot="1">
      <c r="H58" s="224"/>
    </row>
    <row r="59" spans="1:12" s="16" customFormat="1" ht="27" customHeight="1" thickBot="1">
      <c r="A59" s="122" t="s">
        <v>88</v>
      </c>
      <c r="B59" s="123">
        <v>100</v>
      </c>
      <c r="C59" s="205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6" customFormat="1" ht="26.25" customHeight="1">
      <c r="A60" s="124" t="s">
        <v>92</v>
      </c>
      <c r="B60" s="125">
        <v>5</v>
      </c>
      <c r="C60" s="321" t="s">
        <v>93</v>
      </c>
      <c r="D60" s="324">
        <f>'Tenofovir Disoproxil Fumarate'!D60:D63</f>
        <v>1123.55</v>
      </c>
      <c r="E60" s="182">
        <v>1</v>
      </c>
      <c r="F60" s="183">
        <v>61167812</v>
      </c>
      <c r="G60" s="273">
        <f>IF(ISBLANK(F60),"-",(F60/$D$50*$D$47*$B$68)*($B$57/$D$60))</f>
        <v>327.92615375465988</v>
      </c>
      <c r="H60" s="184">
        <f>IF(ISBLANK(F60),"-",(G60/$B$56))</f>
        <v>1.0930871791821997</v>
      </c>
      <c r="L60" s="112"/>
    </row>
    <row r="61" spans="1:12" s="16" customFormat="1" ht="26.25" customHeight="1">
      <c r="A61" s="124" t="s">
        <v>94</v>
      </c>
      <c r="B61" s="125">
        <v>250</v>
      </c>
      <c r="C61" s="322"/>
      <c r="D61" s="325"/>
      <c r="E61" s="185">
        <v>2</v>
      </c>
      <c r="F61" s="137">
        <v>60831166</v>
      </c>
      <c r="G61" s="274">
        <f>IF(ISBLANK(F61),"-",(F61/$D$50*$D$47*$B$68)*($B$57/$D$60))</f>
        <v>326.12136420363106</v>
      </c>
      <c r="H61" s="186">
        <f>IF(ISBLANK(F61),"-",G61/$B$56)</f>
        <v>1.0870712140121035</v>
      </c>
      <c r="L61" s="112"/>
    </row>
    <row r="62" spans="1:12" s="16" customFormat="1" ht="26.25" customHeight="1">
      <c r="A62" s="124" t="s">
        <v>95</v>
      </c>
      <c r="B62" s="125">
        <v>1</v>
      </c>
      <c r="C62" s="322"/>
      <c r="D62" s="325"/>
      <c r="E62" s="185">
        <v>3</v>
      </c>
      <c r="F62" s="187">
        <v>61540965</v>
      </c>
      <c r="G62" s="274">
        <f>IF(ISBLANK(F62),"-",(F62/$D$50*$D$47*$B$68)*($B$57/$D$60))</f>
        <v>329.92666062340334</v>
      </c>
      <c r="H62" s="186">
        <f t="shared" ref="H62:H71" si="0">IF(ISBLANK(F62),"-",G62/$B$56)</f>
        <v>1.0997555354113444</v>
      </c>
      <c r="L62" s="112"/>
    </row>
    <row r="63" spans="1:12" ht="27" customHeight="1" thickBot="1">
      <c r="A63" s="124" t="s">
        <v>96</v>
      </c>
      <c r="B63" s="125">
        <v>1</v>
      </c>
      <c r="C63" s="332"/>
      <c r="D63" s="326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>
      <c r="A64" s="124" t="s">
        <v>97</v>
      </c>
      <c r="B64" s="125">
        <v>1</v>
      </c>
      <c r="C64" s="321" t="s">
        <v>98</v>
      </c>
      <c r="D64" s="324">
        <f>'Tenofovir Disoproxil Fumarate'!D64:D67</f>
        <v>1113.8</v>
      </c>
      <c r="E64" s="182">
        <v>1</v>
      </c>
      <c r="F64" s="183">
        <v>59208044</v>
      </c>
      <c r="G64" s="275">
        <f>IF(ISBLANK(F64),"-",(F64/$D$50*$D$47*$B$68)*($B$57/$D$64))</f>
        <v>320.19829408615777</v>
      </c>
      <c r="H64" s="190">
        <f>IF(ISBLANK(F64),"-",G64/$B$56)</f>
        <v>1.0673276469538593</v>
      </c>
    </row>
    <row r="65" spans="1:8" ht="26.25" customHeight="1">
      <c r="A65" s="124" t="s">
        <v>99</v>
      </c>
      <c r="B65" s="125">
        <v>1</v>
      </c>
      <c r="C65" s="322"/>
      <c r="D65" s="325"/>
      <c r="E65" s="185">
        <v>2</v>
      </c>
      <c r="F65" s="137">
        <v>59364851</v>
      </c>
      <c r="G65" s="276">
        <f>IF(ISBLANK(F65),"-",(F65/$D$50*$D$47*$B$68)*($B$57/$D$64))</f>
        <v>321.04630949941435</v>
      </c>
      <c r="H65" s="191">
        <f>IF(ISBLANK(F65),"-",G65/$B$56)</f>
        <v>1.0701543649980478</v>
      </c>
    </row>
    <row r="66" spans="1:8" ht="26.25" customHeight="1">
      <c r="A66" s="124" t="s">
        <v>100</v>
      </c>
      <c r="B66" s="125">
        <v>1</v>
      </c>
      <c r="C66" s="322"/>
      <c r="D66" s="325"/>
      <c r="E66" s="185">
        <v>3</v>
      </c>
      <c r="F66" s="137">
        <v>59092431</v>
      </c>
      <c r="G66" s="276">
        <f>IF(ISBLANK(F66),"-",(F66/$D$50*$D$47*$B$68)*($B$57/$D$64))</f>
        <v>319.57305665432875</v>
      </c>
      <c r="H66" s="191">
        <f>IF(ISBLANK(F66),"-",G66/$B$56)</f>
        <v>1.0652435221810959</v>
      </c>
    </row>
    <row r="67" spans="1:8" ht="27" customHeight="1" thickBot="1">
      <c r="A67" s="124" t="s">
        <v>101</v>
      </c>
      <c r="B67" s="125">
        <v>1</v>
      </c>
      <c r="C67" s="332"/>
      <c r="D67" s="326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102</v>
      </c>
      <c r="B68" s="193">
        <f>(B67/B66)*(B65/B64)*(B63/B62)*(B61/B60)*B59</f>
        <v>5000</v>
      </c>
      <c r="C68" s="321" t="s">
        <v>103</v>
      </c>
      <c r="D68" s="324">
        <f>'Tenofovir Disoproxil Fumarate'!D68:D71</f>
        <v>1112.53</v>
      </c>
      <c r="E68" s="182">
        <v>1</v>
      </c>
      <c r="F68" s="183">
        <v>58314556</v>
      </c>
      <c r="G68" s="275">
        <f>IF(ISBLANK(F68),"-",(F68/$D$50*$D$47*$B$68)*($B$57/$D$68))</f>
        <v>315.7262969399244</v>
      </c>
      <c r="H68" s="186">
        <f>IF(ISBLANK(F68),"-",G68/$B$56)</f>
        <v>1.0524209897997481</v>
      </c>
    </row>
    <row r="69" spans="1:8" ht="27" customHeight="1" thickBot="1">
      <c r="A69" s="172" t="s">
        <v>104</v>
      </c>
      <c r="B69" s="194">
        <f>(D47*B68)/B56*B57</f>
        <v>1100.0899999999997</v>
      </c>
      <c r="C69" s="322"/>
      <c r="D69" s="325"/>
      <c r="E69" s="185">
        <v>2</v>
      </c>
      <c r="F69" s="137">
        <v>58807270</v>
      </c>
      <c r="G69" s="276">
        <f>IF(ISBLANK(F69),"-",(F69/$D$50*$D$47*$B$68)*($B$57/$D$68))</f>
        <v>318.39394593429307</v>
      </c>
      <c r="H69" s="186">
        <f t="shared" si="0"/>
        <v>1.0613131531143103</v>
      </c>
    </row>
    <row r="70" spans="1:8" ht="26.25" customHeight="1">
      <c r="A70" s="327" t="s">
        <v>77</v>
      </c>
      <c r="B70" s="328"/>
      <c r="C70" s="322"/>
      <c r="D70" s="325"/>
      <c r="E70" s="185">
        <v>3</v>
      </c>
      <c r="F70" s="137">
        <v>58831332</v>
      </c>
      <c r="G70" s="276">
        <f>IF(ISBLANK(F70),"-",(F70/$D$50*$D$47*$B$68)*($B$57/$D$68))</f>
        <v>318.52422226113288</v>
      </c>
      <c r="H70" s="186">
        <f>IF(ISBLANK(F70),"-",G70/$B$56)</f>
        <v>1.0617474075371096</v>
      </c>
    </row>
    <row r="71" spans="1:8" ht="27" customHeight="1" thickBot="1">
      <c r="A71" s="329"/>
      <c r="B71" s="330"/>
      <c r="C71" s="323"/>
      <c r="D71" s="326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224"/>
      <c r="B72" s="224"/>
      <c r="C72" s="224"/>
      <c r="D72" s="224"/>
      <c r="E72" s="224"/>
      <c r="F72" s="224"/>
      <c r="G72" s="198" t="s">
        <v>70</v>
      </c>
      <c r="H72" s="199">
        <f>AVERAGE(H60:H71)</f>
        <v>1.073124557021091</v>
      </c>
    </row>
    <row r="73" spans="1:8" ht="26.25" customHeight="1">
      <c r="C73" s="224"/>
      <c r="D73" s="224"/>
      <c r="E73" s="224"/>
      <c r="F73" s="224"/>
      <c r="G73" s="200" t="s">
        <v>83</v>
      </c>
      <c r="H73" s="278">
        <f>STDEV(H60:H71)/H72</f>
        <v>1.5113451193376291E-2</v>
      </c>
    </row>
    <row r="74" spans="1:8" ht="27" customHeight="1" thickBot="1">
      <c r="A74" s="224"/>
      <c r="B74" s="224"/>
      <c r="C74" s="224"/>
      <c r="D74" s="224"/>
      <c r="E74" s="201"/>
      <c r="F74" s="224"/>
      <c r="G74" s="202" t="s">
        <v>19</v>
      </c>
      <c r="H74" s="203">
        <f>COUNT(H60:H71)</f>
        <v>9</v>
      </c>
    </row>
    <row r="76" spans="1:8" ht="26.25" customHeight="1">
      <c r="A76" s="264" t="s">
        <v>105</v>
      </c>
      <c r="B76" s="216" t="s">
        <v>106</v>
      </c>
      <c r="C76" s="308" t="str">
        <f>B20</f>
        <v>Lamivudine</v>
      </c>
      <c r="D76" s="308"/>
      <c r="E76" s="205" t="s">
        <v>107</v>
      </c>
      <c r="F76" s="205"/>
      <c r="G76" s="206">
        <f>H72</f>
        <v>1.073124557021091</v>
      </c>
      <c r="H76" s="282"/>
    </row>
    <row r="77" spans="1:8" ht="18.75">
      <c r="A77" s="107" t="s">
        <v>108</v>
      </c>
      <c r="B77" s="107" t="s">
        <v>109</v>
      </c>
    </row>
    <row r="78" spans="1:8" ht="18.75">
      <c r="A78" s="107"/>
      <c r="B78" s="107"/>
    </row>
    <row r="79" spans="1:8" ht="26.25" customHeight="1">
      <c r="A79" s="264" t="s">
        <v>4</v>
      </c>
      <c r="B79" s="331" t="str">
        <f>B26</f>
        <v>Lamivudine</v>
      </c>
      <c r="C79" s="331"/>
    </row>
    <row r="80" spans="1:8" ht="26.25" customHeight="1">
      <c r="A80" s="216" t="s">
        <v>47</v>
      </c>
      <c r="B80" s="331" t="str">
        <f>B27</f>
        <v>NQCL-WRS-L3-6</v>
      </c>
      <c r="C80" s="331"/>
    </row>
    <row r="81" spans="1:12" ht="27" customHeight="1" thickBot="1">
      <c r="A81" s="216" t="s">
        <v>6</v>
      </c>
      <c r="B81" s="208">
        <f>B28</f>
        <v>101.74</v>
      </c>
    </row>
    <row r="82" spans="1:12" s="16" customFormat="1" ht="27" customHeight="1" thickBot="1">
      <c r="A82" s="216" t="s">
        <v>48</v>
      </c>
      <c r="B82" s="111">
        <v>0</v>
      </c>
      <c r="C82" s="310" t="s">
        <v>49</v>
      </c>
      <c r="D82" s="311"/>
      <c r="E82" s="311"/>
      <c r="F82" s="311"/>
      <c r="G82" s="312"/>
      <c r="I82" s="112"/>
      <c r="J82" s="112"/>
      <c r="K82" s="112"/>
      <c r="L82" s="112"/>
    </row>
    <row r="83" spans="1:12" s="16" customFormat="1" ht="19.5" customHeight="1" thickBot="1">
      <c r="A83" s="216" t="s">
        <v>50</v>
      </c>
      <c r="B83" s="282">
        <f>B81-B82</f>
        <v>101.74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6" customFormat="1" ht="27" customHeight="1" thickBot="1">
      <c r="A84" s="216" t="s">
        <v>51</v>
      </c>
      <c r="B84" s="116">
        <v>1</v>
      </c>
      <c r="C84" s="313" t="s">
        <v>110</v>
      </c>
      <c r="D84" s="314"/>
      <c r="E84" s="314"/>
      <c r="F84" s="314"/>
      <c r="G84" s="314"/>
      <c r="H84" s="315"/>
      <c r="I84" s="112"/>
      <c r="J84" s="112"/>
      <c r="K84" s="112"/>
      <c r="L84" s="112"/>
    </row>
    <row r="85" spans="1:12" s="16" customFormat="1" ht="27" customHeight="1" thickBot="1">
      <c r="A85" s="216" t="s">
        <v>53</v>
      </c>
      <c r="B85" s="116">
        <v>1</v>
      </c>
      <c r="C85" s="313" t="s">
        <v>111</v>
      </c>
      <c r="D85" s="314"/>
      <c r="E85" s="314"/>
      <c r="F85" s="314"/>
      <c r="G85" s="314"/>
      <c r="H85" s="315"/>
      <c r="I85" s="112"/>
      <c r="J85" s="112"/>
      <c r="K85" s="112"/>
      <c r="L85" s="112"/>
    </row>
    <row r="86" spans="1:12" s="16" customFormat="1" ht="18.75">
      <c r="A86" s="216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6" customFormat="1" ht="18.75">
      <c r="A87" s="216" t="s">
        <v>55</v>
      </c>
      <c r="B87" s="121">
        <f>B84/B85</f>
        <v>1</v>
      </c>
      <c r="C87" s="205" t="s">
        <v>56</v>
      </c>
      <c r="D87" s="205"/>
      <c r="E87" s="205"/>
      <c r="F87" s="205"/>
      <c r="G87" s="205"/>
      <c r="I87" s="112"/>
      <c r="J87" s="112"/>
      <c r="K87" s="112"/>
      <c r="L87" s="112"/>
    </row>
    <row r="88" spans="1:12" ht="19.5" customHeight="1" thickBot="1">
      <c r="A88" s="107"/>
      <c r="B88" s="107"/>
    </row>
    <row r="89" spans="1:12" ht="27" customHeight="1" thickBot="1">
      <c r="A89" s="122" t="s">
        <v>57</v>
      </c>
      <c r="B89" s="123">
        <v>10</v>
      </c>
      <c r="D89" s="284" t="s">
        <v>58</v>
      </c>
      <c r="E89" s="287"/>
      <c r="F89" s="316" t="s">
        <v>59</v>
      </c>
      <c r="G89" s="317"/>
    </row>
    <row r="90" spans="1:12" ht="27" customHeight="1" thickBot="1">
      <c r="A90" s="124" t="s">
        <v>60</v>
      </c>
      <c r="B90" s="125">
        <v>3</v>
      </c>
      <c r="C90" s="283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>
      <c r="A91" s="124" t="s">
        <v>65</v>
      </c>
      <c r="B91" s="125">
        <v>25</v>
      </c>
      <c r="C91" s="213">
        <v>1</v>
      </c>
      <c r="D91" s="132">
        <v>105149560</v>
      </c>
      <c r="E91" s="133">
        <f>IF(ISBLANK(D91),"-",$D$101/$D$98*D91)</f>
        <v>146141470.98406288</v>
      </c>
      <c r="F91" s="132">
        <v>85551895</v>
      </c>
      <c r="G91" s="134">
        <f>IF(ISBLANK(F91),"-",$D$101/$F$98*F91)</f>
        <v>144880687.00408891</v>
      </c>
      <c r="I91" s="135"/>
    </row>
    <row r="92" spans="1:12" ht="26.25" customHeight="1">
      <c r="A92" s="124" t="s">
        <v>66</v>
      </c>
      <c r="B92" s="125">
        <v>1</v>
      </c>
      <c r="C92" s="224">
        <v>2</v>
      </c>
      <c r="D92" s="137">
        <v>105411897</v>
      </c>
      <c r="E92" s="138">
        <f>IF(ISBLANK(D92),"-",$D$101/$D$98*D92)</f>
        <v>146506078.45435134</v>
      </c>
      <c r="F92" s="137">
        <v>83433369</v>
      </c>
      <c r="G92" s="139">
        <f>IF(ISBLANK(F92),"-",$D$101/$F$98*F92)</f>
        <v>141292999.05964273</v>
      </c>
      <c r="I92" s="318">
        <f>ABS((F96/D96*D95)-F95)/D95</f>
        <v>1.6321752869059205E-2</v>
      </c>
    </row>
    <row r="93" spans="1:12" ht="26.25" customHeight="1">
      <c r="A93" s="124" t="s">
        <v>67</v>
      </c>
      <c r="B93" s="125">
        <v>1</v>
      </c>
      <c r="C93" s="224">
        <v>3</v>
      </c>
      <c r="D93" s="137">
        <v>103823819</v>
      </c>
      <c r="E93" s="138">
        <f>IF(ISBLANK(D93),"-",$D$101/$D$98*D93)</f>
        <v>144298897.98723927</v>
      </c>
      <c r="F93" s="137">
        <v>83899840</v>
      </c>
      <c r="G93" s="139">
        <f>IF(ISBLANK(F93),"-",$D$101/$F$98*F93)</f>
        <v>142082959.80741441</v>
      </c>
      <c r="I93" s="318"/>
    </row>
    <row r="94" spans="1:12" ht="27" customHeight="1" thickBot="1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thickBot="1">
      <c r="A95" s="124" t="s">
        <v>69</v>
      </c>
      <c r="B95" s="125">
        <v>1</v>
      </c>
      <c r="C95" s="216" t="s">
        <v>70</v>
      </c>
      <c r="D95" s="217">
        <f>AVERAGE(D91:D94)</f>
        <v>104795092</v>
      </c>
      <c r="E95" s="148">
        <f>AVERAGE(E91:E94)</f>
        <v>145648815.80855116</v>
      </c>
      <c r="F95" s="218">
        <f>AVERAGE(F91:F94)</f>
        <v>84295034.666666672</v>
      </c>
      <c r="G95" s="219">
        <f>AVERAGE(G91:G94)</f>
        <v>142752215.29038203</v>
      </c>
    </row>
    <row r="96" spans="1:12" ht="26.25" customHeight="1">
      <c r="A96" s="124" t="s">
        <v>71</v>
      </c>
      <c r="B96" s="208">
        <v>1</v>
      </c>
      <c r="C96" s="220" t="s">
        <v>112</v>
      </c>
      <c r="D96" s="221">
        <v>17.68</v>
      </c>
      <c r="E96" s="205"/>
      <c r="F96" s="152">
        <v>14.51</v>
      </c>
    </row>
    <row r="97" spans="1:10" ht="26.25" customHeight="1">
      <c r="A97" s="124" t="s">
        <v>73</v>
      </c>
      <c r="B97" s="208">
        <v>1</v>
      </c>
      <c r="C97" s="222" t="s">
        <v>113</v>
      </c>
      <c r="D97" s="223">
        <f>D96*$B$87</f>
        <v>17.68</v>
      </c>
      <c r="E97" s="224"/>
      <c r="F97" s="154">
        <f>F96*$B$87</f>
        <v>14.51</v>
      </c>
    </row>
    <row r="98" spans="1:10" ht="19.5" customHeight="1" thickBot="1">
      <c r="A98" s="124" t="s">
        <v>75</v>
      </c>
      <c r="B98" s="224">
        <f>(B97/B96)*(B95/B94)*(B93/B92)*(B91/B90)*B89</f>
        <v>83.333333333333343</v>
      </c>
      <c r="C98" s="222" t="s">
        <v>114</v>
      </c>
      <c r="D98" s="225">
        <f>D97*$B$83/100</f>
        <v>17.987631999999998</v>
      </c>
      <c r="E98" s="201"/>
      <c r="F98" s="157">
        <f>F97*$B$83/100</f>
        <v>14.762473999999999</v>
      </c>
    </row>
    <row r="99" spans="1:10" ht="19.5" customHeight="1" thickBot="1">
      <c r="A99" s="304" t="s">
        <v>77</v>
      </c>
      <c r="B99" s="319"/>
      <c r="C99" s="222" t="s">
        <v>115</v>
      </c>
      <c r="D99" s="226">
        <f>D98/$B$98</f>
        <v>0.21585158399999996</v>
      </c>
      <c r="E99" s="201"/>
      <c r="F99" s="161">
        <f>F98/$B$98</f>
        <v>0.17714968799999997</v>
      </c>
      <c r="H99" s="150"/>
    </row>
    <row r="100" spans="1:10" ht="19.5" customHeight="1" thickBot="1">
      <c r="A100" s="306"/>
      <c r="B100" s="320"/>
      <c r="C100" s="222" t="s">
        <v>79</v>
      </c>
      <c r="D100" s="228">
        <f>$B$56/$B$116</f>
        <v>0.3</v>
      </c>
      <c r="F100" s="166"/>
      <c r="G100" s="235"/>
      <c r="H100" s="150"/>
    </row>
    <row r="101" spans="1:10" ht="18.75">
      <c r="C101" s="222" t="s">
        <v>80</v>
      </c>
      <c r="D101" s="223">
        <f>D100*$B$98</f>
        <v>25.000000000000004</v>
      </c>
      <c r="F101" s="166"/>
      <c r="H101" s="150"/>
    </row>
    <row r="102" spans="1:10" ht="19.5" customHeight="1" thickBot="1">
      <c r="C102" s="230" t="s">
        <v>81</v>
      </c>
      <c r="D102" s="231">
        <f>D101/B34</f>
        <v>25.000000000000004</v>
      </c>
      <c r="F102" s="170"/>
      <c r="H102" s="150"/>
      <c r="J102" s="232"/>
    </row>
    <row r="103" spans="1:10" ht="18.75">
      <c r="C103" s="233" t="s">
        <v>116</v>
      </c>
      <c r="D103" s="234">
        <f>AVERAGE(E91:E94,G91:G94)</f>
        <v>144200515.54946658</v>
      </c>
      <c r="F103" s="170"/>
      <c r="G103" s="235"/>
      <c r="H103" s="150"/>
      <c r="J103" s="236"/>
    </row>
    <row r="104" spans="1:10" ht="18.75">
      <c r="C104" s="200" t="s">
        <v>83</v>
      </c>
      <c r="D104" s="237">
        <f>STDEV(E91:E94,G91:G94)/D103</f>
        <v>1.4708597023645164E-2</v>
      </c>
      <c r="F104" s="170"/>
      <c r="H104" s="150"/>
      <c r="J104" s="236"/>
    </row>
    <row r="105" spans="1:10" ht="19.5" customHeight="1" thickBot="1">
      <c r="C105" s="202" t="s">
        <v>19</v>
      </c>
      <c r="D105" s="238">
        <f>COUNT(E91:E94,G91:G94)</f>
        <v>6</v>
      </c>
      <c r="F105" s="170"/>
      <c r="H105" s="150"/>
      <c r="J105" s="236"/>
    </row>
    <row r="106" spans="1:10" ht="19.5" customHeight="1" thickBot="1">
      <c r="A106" s="174"/>
      <c r="B106" s="174"/>
      <c r="C106" s="174"/>
      <c r="D106" s="174"/>
      <c r="E106" s="174"/>
    </row>
    <row r="107" spans="1:10" ht="26.25" customHeight="1">
      <c r="A107" s="122" t="s">
        <v>117</v>
      </c>
      <c r="B107" s="123">
        <v>1000</v>
      </c>
      <c r="C107" s="284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>
      <c r="A108" s="124" t="s">
        <v>121</v>
      </c>
      <c r="B108" s="125">
        <v>1</v>
      </c>
      <c r="C108" s="243">
        <v>1</v>
      </c>
      <c r="D108" s="244">
        <v>143152139</v>
      </c>
      <c r="E108" s="279">
        <f t="shared" ref="E108:E113" si="1">IF(ISBLANK(D108),"-",D108/$D$103*$D$100*$B$116)</f>
        <v>297.81891927610974</v>
      </c>
      <c r="F108" s="245">
        <f>IF(ISBLANK(D108), "-", E108/$B$56)</f>
        <v>0.99272973092036576</v>
      </c>
    </row>
    <row r="109" spans="1:10" ht="26.25" customHeight="1">
      <c r="A109" s="124" t="s">
        <v>94</v>
      </c>
      <c r="B109" s="125">
        <v>1</v>
      </c>
      <c r="C109" s="243">
        <v>2</v>
      </c>
      <c r="D109" s="244">
        <v>144673776</v>
      </c>
      <c r="E109" s="280">
        <f t="shared" si="1"/>
        <v>300.9845882632182</v>
      </c>
      <c r="F109" s="246">
        <f t="shared" ref="F109:F113" si="2">IF(ISBLANK(D109), "-", E109/$B$56)</f>
        <v>1.003281960877394</v>
      </c>
    </row>
    <row r="110" spans="1:10" ht="26.25" customHeight="1">
      <c r="A110" s="124" t="s">
        <v>95</v>
      </c>
      <c r="B110" s="125">
        <v>1</v>
      </c>
      <c r="C110" s="243">
        <v>3</v>
      </c>
      <c r="D110" s="244">
        <v>146100408</v>
      </c>
      <c r="E110" s="280">
        <f t="shared" si="1"/>
        <v>303.95260539109864</v>
      </c>
      <c r="F110" s="246">
        <f>IF(ISBLANK(D110), "-", E110/$B$56)</f>
        <v>1.0131753513036621</v>
      </c>
    </row>
    <row r="111" spans="1:10" ht="26.25" customHeight="1">
      <c r="A111" s="124" t="s">
        <v>96</v>
      </c>
      <c r="B111" s="125">
        <v>1</v>
      </c>
      <c r="C111" s="243">
        <v>4</v>
      </c>
      <c r="D111" s="244">
        <v>147582755</v>
      </c>
      <c r="E111" s="280">
        <f t="shared" si="1"/>
        <v>307.03653403244556</v>
      </c>
      <c r="F111" s="246">
        <f t="shared" si="2"/>
        <v>1.0234551134414851</v>
      </c>
    </row>
    <row r="112" spans="1:10" ht="26.25" customHeight="1">
      <c r="A112" s="124" t="s">
        <v>97</v>
      </c>
      <c r="B112" s="125">
        <v>1</v>
      </c>
      <c r="C112" s="243">
        <v>5</v>
      </c>
      <c r="D112" s="244">
        <v>142149172</v>
      </c>
      <c r="E112" s="280">
        <f t="shared" si="1"/>
        <v>295.73231023138146</v>
      </c>
      <c r="F112" s="246">
        <f>IF(ISBLANK(D112), "-", E112/$B$56)</f>
        <v>0.98577436743793823</v>
      </c>
    </row>
    <row r="113" spans="1:10" ht="26.25" customHeight="1">
      <c r="A113" s="124" t="s">
        <v>99</v>
      </c>
      <c r="B113" s="125">
        <v>1</v>
      </c>
      <c r="C113" s="247">
        <v>6</v>
      </c>
      <c r="D113" s="248">
        <v>144281261</v>
      </c>
      <c r="E113" s="281">
        <f t="shared" si="1"/>
        <v>300.16798577361334</v>
      </c>
      <c r="F113" s="249">
        <f t="shared" si="2"/>
        <v>1.0005599525787112</v>
      </c>
    </row>
    <row r="114" spans="1:10" ht="26.25" customHeight="1">
      <c r="A114" s="124" t="s">
        <v>100</v>
      </c>
      <c r="B114" s="125">
        <v>1</v>
      </c>
      <c r="C114" s="243"/>
      <c r="D114" s="224"/>
      <c r="E114" s="205"/>
      <c r="F114" s="250"/>
    </row>
    <row r="115" spans="1:10" ht="26.25" customHeight="1">
      <c r="A115" s="124" t="s">
        <v>101</v>
      </c>
      <c r="B115" s="125">
        <v>1</v>
      </c>
      <c r="C115" s="243"/>
      <c r="D115" s="251"/>
      <c r="E115" s="252" t="s">
        <v>70</v>
      </c>
      <c r="F115" s="253">
        <f>AVERAGE(F108:F113)</f>
        <v>1.0031627460932593</v>
      </c>
    </row>
    <row r="116" spans="1:10" ht="27" customHeight="1" thickBot="1">
      <c r="A116" s="124" t="s">
        <v>102</v>
      </c>
      <c r="B116" s="156">
        <f>(B115/B114)*(B113/B112)*(B111/B110)*(B109/B108)*B107</f>
        <v>1000</v>
      </c>
      <c r="C116" s="254"/>
      <c r="D116" s="255"/>
      <c r="E116" s="216" t="s">
        <v>83</v>
      </c>
      <c r="F116" s="256">
        <f>STDEV(F108:F113)/F115</f>
        <v>1.3595364118732713E-2</v>
      </c>
      <c r="I116" s="205"/>
    </row>
    <row r="117" spans="1:10" ht="27" customHeight="1" thickBot="1">
      <c r="A117" s="304" t="s">
        <v>77</v>
      </c>
      <c r="B117" s="305"/>
      <c r="C117" s="257"/>
      <c r="D117" s="258"/>
      <c r="E117" s="259" t="s">
        <v>19</v>
      </c>
      <c r="F117" s="260">
        <f>COUNT(F108:F113)</f>
        <v>6</v>
      </c>
      <c r="I117" s="205"/>
      <c r="J117" s="236"/>
    </row>
    <row r="118" spans="1:10" ht="19.5" customHeight="1" thickBot="1">
      <c r="A118" s="306"/>
      <c r="B118" s="307"/>
      <c r="C118" s="205"/>
      <c r="D118" s="205"/>
      <c r="E118" s="205"/>
      <c r="F118" s="224"/>
      <c r="G118" s="205"/>
      <c r="H118" s="205"/>
      <c r="I118" s="205"/>
    </row>
    <row r="119" spans="1:10" ht="18.75">
      <c r="A119" s="269"/>
      <c r="B119" s="120"/>
      <c r="C119" s="205"/>
      <c r="D119" s="205"/>
      <c r="E119" s="205"/>
      <c r="F119" s="224"/>
      <c r="G119" s="205"/>
      <c r="H119" s="205"/>
      <c r="I119" s="205"/>
    </row>
    <row r="120" spans="1:10" ht="26.25" customHeight="1">
      <c r="A120" s="264" t="s">
        <v>105</v>
      </c>
      <c r="B120" s="216" t="s">
        <v>122</v>
      </c>
      <c r="C120" s="308" t="str">
        <f>B20</f>
        <v>Lamivudine</v>
      </c>
      <c r="D120" s="308"/>
      <c r="E120" s="205" t="s">
        <v>123</v>
      </c>
      <c r="F120" s="205"/>
      <c r="G120" s="206">
        <f>F115</f>
        <v>1.0031627460932593</v>
      </c>
      <c r="H120" s="205"/>
      <c r="I120" s="205"/>
    </row>
    <row r="121" spans="1:10" ht="19.5" customHeight="1" thickBot="1">
      <c r="A121" s="285"/>
      <c r="B121" s="285"/>
      <c r="C121" s="262"/>
      <c r="D121" s="262"/>
      <c r="E121" s="262"/>
      <c r="F121" s="262"/>
      <c r="G121" s="262"/>
      <c r="H121" s="262"/>
    </row>
    <row r="122" spans="1:10" ht="18.75">
      <c r="B122" s="309" t="s">
        <v>25</v>
      </c>
      <c r="C122" s="309"/>
      <c r="E122" s="283" t="s">
        <v>26</v>
      </c>
      <c r="F122" s="263"/>
      <c r="G122" s="309" t="s">
        <v>27</v>
      </c>
      <c r="H122" s="309"/>
    </row>
    <row r="123" spans="1:10" ht="69.95" customHeight="1">
      <c r="A123" s="264" t="s">
        <v>28</v>
      </c>
      <c r="B123" s="266" t="s">
        <v>125</v>
      </c>
      <c r="C123" s="266"/>
      <c r="E123" s="291">
        <v>42045</v>
      </c>
      <c r="F123" s="205"/>
      <c r="G123" s="266"/>
      <c r="H123" s="266"/>
    </row>
    <row r="124" spans="1:10" ht="69.95" customHeight="1">
      <c r="A124" s="264" t="s">
        <v>29</v>
      </c>
      <c r="B124" s="267"/>
      <c r="C124" s="267"/>
      <c r="E124" s="267"/>
      <c r="F124" s="205"/>
      <c r="G124" s="268"/>
      <c r="H124" s="268"/>
    </row>
    <row r="125" spans="1:10" ht="18.75">
      <c r="A125" s="224"/>
      <c r="B125" s="224"/>
      <c r="C125" s="224"/>
      <c r="D125" s="224"/>
      <c r="E125" s="224"/>
      <c r="F125" s="201"/>
      <c r="G125" s="224"/>
      <c r="H125" s="224"/>
      <c r="I125" s="205"/>
    </row>
    <row r="126" spans="1:10" ht="18.75">
      <c r="A126" s="224"/>
      <c r="B126" s="224"/>
      <c r="C126" s="224"/>
      <c r="D126" s="224"/>
      <c r="E126" s="224"/>
      <c r="F126" s="201"/>
      <c r="G126" s="224"/>
      <c r="H126" s="224"/>
      <c r="I126" s="205"/>
    </row>
    <row r="127" spans="1:10" ht="18.75">
      <c r="A127" s="224"/>
      <c r="B127" s="224"/>
      <c r="C127" s="224"/>
      <c r="D127" s="224"/>
      <c r="E127" s="224"/>
      <c r="F127" s="201"/>
      <c r="G127" s="224"/>
      <c r="H127" s="224"/>
      <c r="I127" s="205"/>
    </row>
    <row r="128" spans="1:10" ht="18.75">
      <c r="A128" s="224"/>
      <c r="B128" s="224"/>
      <c r="C128" s="224"/>
      <c r="D128" s="224"/>
      <c r="E128" s="224"/>
      <c r="F128" s="201"/>
      <c r="G128" s="224"/>
      <c r="H128" s="224"/>
      <c r="I128" s="205"/>
    </row>
    <row r="129" spans="1:9" ht="18.75">
      <c r="A129" s="224"/>
      <c r="B129" s="224"/>
      <c r="C129" s="224"/>
      <c r="D129" s="224"/>
      <c r="E129" s="224"/>
      <c r="F129" s="201"/>
      <c r="G129" s="224"/>
      <c r="H129" s="224"/>
      <c r="I129" s="205"/>
    </row>
    <row r="130" spans="1:9" ht="18.75">
      <c r="A130" s="224"/>
      <c r="B130" s="224"/>
      <c r="C130" s="224"/>
      <c r="D130" s="224"/>
      <c r="E130" s="224"/>
      <c r="F130" s="201"/>
      <c r="G130" s="224"/>
      <c r="H130" s="224"/>
      <c r="I130" s="205"/>
    </row>
    <row r="131" spans="1:9" ht="18.75">
      <c r="A131" s="224"/>
      <c r="B131" s="224"/>
      <c r="C131" s="224"/>
      <c r="D131" s="224"/>
      <c r="E131" s="224"/>
      <c r="F131" s="201"/>
      <c r="G131" s="224"/>
      <c r="H131" s="224"/>
      <c r="I131" s="205"/>
    </row>
    <row r="132" spans="1:9" ht="18.75">
      <c r="A132" s="224"/>
      <c r="B132" s="224"/>
      <c r="C132" s="224"/>
      <c r="D132" s="224"/>
      <c r="E132" s="224"/>
      <c r="F132" s="201"/>
      <c r="G132" s="224"/>
      <c r="H132" s="224"/>
      <c r="I132" s="205"/>
    </row>
    <row r="133" spans="1:9" ht="18.75">
      <c r="A133" s="224"/>
      <c r="B133" s="224"/>
      <c r="C133" s="224"/>
      <c r="D133" s="224"/>
      <c r="E133" s="224"/>
      <c r="F133" s="201"/>
      <c r="G133" s="224"/>
      <c r="H133" s="224"/>
      <c r="I133" s="205"/>
    </row>
    <row r="250" spans="1:1">
      <c r="A250" s="227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</vt:lpstr>
      <vt:lpstr>Uniformity</vt:lpstr>
      <vt:lpstr>Tenofovir Disoproxil Fumarate</vt:lpstr>
      <vt:lpstr>SST (2)</vt:lpstr>
      <vt:lpstr>Lamivudine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2015-10-21T06:28:31Z</cp:lastPrinted>
  <dcterms:created xsi:type="dcterms:W3CDTF">2005-07-05T10:19:27Z</dcterms:created>
  <dcterms:modified xsi:type="dcterms:W3CDTF">2015-11-23T16:17:07Z</dcterms:modified>
</cp:coreProperties>
</file>