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Abacavir" sheetId="3" r:id="rId3"/>
  </sheets>
  <externalReferences>
    <externalReference r:id="rId4"/>
    <externalReference r:id="rId5"/>
  </externalReferences>
  <definedNames>
    <definedName name="_xlnm.Print_Area" localSheetId="2">Abacavir!$A$1:$I$128</definedName>
    <definedName name="_xlnm.Print_Area" localSheetId="1">Uniformity!$A$1:$H$57</definedName>
  </definedNames>
  <calcPr calcId="145621"/>
</workbook>
</file>

<file path=xl/calcChain.xml><?xml version="1.0" encoding="utf-8"?>
<calcChain xmlns="http://schemas.openxmlformats.org/spreadsheetml/2006/main">
  <c r="B18" i="1" l="1"/>
  <c r="B21" i="1" l="1"/>
  <c r="B20" i="1"/>
  <c r="B19" i="1"/>
  <c r="B17" i="1"/>
  <c r="B42" i="1"/>
  <c r="B41" i="1"/>
  <c r="B40" i="1"/>
  <c r="B39" i="1"/>
  <c r="C19" i="2" l="1"/>
  <c r="C18" i="2"/>
  <c r="B116" i="3"/>
  <c r="D100" i="3" s="1"/>
  <c r="B98" i="3"/>
  <c r="B87" i="3"/>
  <c r="B69" i="3"/>
  <c r="G38" i="3"/>
  <c r="E38" i="3"/>
  <c r="B30" i="3"/>
  <c r="C120" i="3"/>
  <c r="F95" i="3"/>
  <c r="D95" i="3"/>
  <c r="F9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C46" i="2"/>
  <c r="B57" i="3" s="1"/>
  <c r="C45" i="2"/>
  <c r="D29" i="2"/>
  <c r="D2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E41" i="3"/>
  <c r="F45" i="3"/>
  <c r="F46" i="3" s="1"/>
  <c r="F98" i="3"/>
  <c r="F99" i="3" s="1"/>
  <c r="D44" i="3"/>
  <c r="D45" i="3" s="1"/>
  <c r="E40" i="3" s="1"/>
  <c r="I39" i="3"/>
  <c r="D33" i="2"/>
  <c r="D37" i="2"/>
  <c r="D41" i="2"/>
  <c r="C50" i="2"/>
  <c r="G41" i="3"/>
  <c r="D26" i="2"/>
  <c r="D30" i="2"/>
  <c r="D34" i="2"/>
  <c r="D38" i="2"/>
  <c r="D42" i="2"/>
  <c r="B49" i="2"/>
  <c r="D50" i="2"/>
  <c r="D49" i="3"/>
  <c r="D39" i="2"/>
  <c r="C49" i="2"/>
  <c r="D27" i="2"/>
  <c r="D31" i="2"/>
  <c r="D35" i="2"/>
  <c r="D43" i="2"/>
  <c r="D24" i="2"/>
  <c r="D28" i="2"/>
  <c r="D32" i="2"/>
  <c r="D36" i="2"/>
  <c r="D40" i="2"/>
  <c r="D49" i="2"/>
  <c r="E91" i="3" l="1"/>
  <c r="E93" i="3"/>
  <c r="E92" i="3"/>
  <c r="G91" i="3"/>
  <c r="G92" i="3"/>
  <c r="D99" i="3"/>
  <c r="E94" i="3"/>
  <c r="G39" i="3"/>
  <c r="G40" i="3"/>
  <c r="G42" i="3" s="1"/>
  <c r="G94" i="3"/>
  <c r="G93" i="3"/>
  <c r="D46" i="3"/>
  <c r="E39" i="3"/>
  <c r="G95" i="3" l="1"/>
  <c r="D105" i="3"/>
  <c r="D103" i="3"/>
  <c r="E113" i="3" s="1"/>
  <c r="F113" i="3" s="1"/>
  <c r="E95" i="3"/>
  <c r="D50" i="3"/>
  <c r="D51" i="3" s="1"/>
  <c r="E42" i="3"/>
  <c r="D52" i="3"/>
  <c r="E111" i="3" l="1"/>
  <c r="F111" i="3" s="1"/>
  <c r="E108" i="3"/>
  <c r="F108" i="3" s="1"/>
  <c r="D104" i="3"/>
  <c r="E110" i="3"/>
  <c r="F110" i="3" s="1"/>
  <c r="E109" i="3"/>
  <c r="F109" i="3" s="1"/>
  <c r="E112" i="3"/>
  <c r="F112" i="3" s="1"/>
  <c r="G67" i="3"/>
  <c r="H67" i="3" s="1"/>
  <c r="G70" i="3"/>
  <c r="H70" i="3" s="1"/>
  <c r="G66" i="3"/>
  <c r="H66" i="3" s="1"/>
  <c r="G65" i="3"/>
  <c r="H65" i="3" s="1"/>
  <c r="G68" i="3"/>
  <c r="H68" i="3" s="1"/>
  <c r="G64" i="3"/>
  <c r="H64" i="3" s="1"/>
  <c r="G63" i="3"/>
  <c r="H63" i="3" s="1"/>
  <c r="G71" i="3"/>
  <c r="H71" i="3" s="1"/>
  <c r="G62" i="3"/>
  <c r="H62" i="3" s="1"/>
  <c r="G61" i="3"/>
  <c r="H61" i="3" s="1"/>
  <c r="G69" i="3"/>
  <c r="H69" i="3" s="1"/>
  <c r="G60" i="3"/>
  <c r="H60" i="3" s="1"/>
  <c r="F115" i="3" l="1"/>
  <c r="G120" i="3" s="1"/>
  <c r="F117" i="3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<sst xmlns="http://schemas.openxmlformats.org/spreadsheetml/2006/main" count="234" uniqueCount="130">
  <si>
    <t>HPLC System Suitability Report</t>
  </si>
  <si>
    <t>Analysis Data</t>
  </si>
  <si>
    <t>Assay</t>
  </si>
  <si>
    <t>Sample(s)</t>
  </si>
  <si>
    <t>Reference Substance:</t>
  </si>
  <si>
    <t>ABACAVIR 300 mg TABLETS</t>
  </si>
  <si>
    <t>% age Purity:</t>
  </si>
  <si>
    <t>NDQD201508098</t>
  </si>
  <si>
    <t>Weight (mg):</t>
  </si>
  <si>
    <t xml:space="preserve">Abacavir Sulfate </t>
  </si>
  <si>
    <t>Standard Conc (mg/mL):</t>
  </si>
  <si>
    <t>Each film coated tablet contains:
Abacavir Sulfate USP equivalent to Abacavir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</si>
  <si>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</si>
  <si>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</si>
  <si>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</si>
  <si>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</si>
  <si>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</si>
  <si>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</si>
  <si>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</si>
  <si>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</si>
  <si>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</si>
  <si>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</si>
  <si>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</si>
  <si>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</si>
  <si>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</si>
  <si>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</si>
  <si>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</si>
  <si>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</si>
  <si>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</si>
  <si>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</si>
  <si>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</si>
  <si>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</si>
  <si>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</si>
  <si>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</si>
  <si>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</si>
  <si>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</si>
  <si>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</si>
  <si>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</si>
  <si>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</si>
  <si>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</si>
  <si>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</si>
  <si>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</si>
  <si>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</si>
  <si>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</si>
  <si>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</si>
  <si>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</si>
  <si>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</si>
  <si>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</si>
  <si>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</si>
  <si>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</si>
  <si>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</si>
  <si>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</si>
  <si>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</si>
  <si>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</si>
  <si>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</si>
  <si>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</si>
  <si>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</si>
  <si>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</si>
  <si>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</si>
  <si>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</si>
  <si>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</si>
  <si>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</si>
  <si>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</si>
  <si>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</si>
  <si>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</si>
  <si>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</si>
  <si>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</si>
  <si>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</si>
  <si>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</si>
  <si>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</si>
  <si>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</si>
  <si>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</si>
  <si>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</si>
  <si>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</si>
  <si>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</si>
  <si>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</si>
  <si>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</si>
  <si>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</si>
  <si>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</si>
  <si>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</si>
  <si>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</si>
  <si>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</si>
  <si>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</si>
  <si>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</si>
  <si>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</si>
  <si>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</si>
  <si>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</si>
  <si>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</si>
  <si>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</si>
  <si>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</si>
  <si>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</si>
  <si>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</si>
  <si>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</si>
  <si>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</si>
  <si>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</si>
  <si>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</si>
  <si>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</si>
  <si>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</si>
  <si>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</si>
  <si>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</si>
  <si>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</si>
  <si>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</si>
  <si>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</si>
  <si>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</si>
  <si>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</si>
  <si>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</si>
  <si>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</si>
  <si>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</si>
  <si>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</si>
  <si>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</si>
  <si>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</si>
  <si>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</si>
  <si>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</si>
  <si>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</si>
  <si>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</si>
  <si>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</si>
  <si>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</si>
  <si>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</si>
  <si>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</si>
  <si>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</si>
  <si>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</si>
  <si>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</si>
  <si>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</si>
  <si>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</si>
  <si>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 Sulphate</t>
  </si>
  <si>
    <r>
      <t xml:space="preserve">    </t>
    </r>
    <r>
      <rPr>
        <b/>
        <sz val="20"/>
        <color rgb="FF000000"/>
        <rFont val="Book Antiqua"/>
        <family val="1"/>
      </rPr>
      <t>PRS A12-1</t>
    </r>
  </si>
  <si>
    <t>21st Sept 2015</t>
  </si>
  <si>
    <t>30th Sept 2015</t>
  </si>
  <si>
    <t>JOYFRIDA</t>
  </si>
  <si>
    <t>30TH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</si>
</sst>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24" fillId="3" borderId="29" xfId="0" applyFont="1" applyFill="1" applyBorder="1" applyAlignment="1" applyProtection="1">
      <alignment horizontal="center"/>
      <protection locked="0"/>
    </xf>
    <xf numFmtId="0" fontId="24" fillId="3" borderId="23" xfId="0" applyFont="1" applyFill="1" applyBorder="1" applyAlignment="1" applyProtection="1">
      <alignment horizontal="center"/>
      <protection locked="0"/>
    </xf>
    <xf numFmtId="2" fontId="24" fillId="3" borderId="0" xfId="0" applyNumberFormat="1" applyFont="1" applyFill="1" applyAlignment="1" applyProtection="1">
      <alignment horizontal="center"/>
      <protection locked="0"/>
    </xf>
    <xf numFmtId="0" fontId="24" fillId="3" borderId="34" xfId="0" applyFont="1" applyFill="1" applyBorder="1" applyAlignment="1" applyProtection="1">
      <alignment horizontal="center"/>
      <protection locked="0"/>
    </xf>
    <xf numFmtId="1" fontId="24" fillId="3" borderId="34" xfId="0" applyNumberFormat="1" applyFont="1" applyFill="1" applyBorder="1" applyAlignment="1" applyProtection="1">
      <alignment horizontal="center"/>
      <protection locked="0"/>
    </xf>
    <xf numFmtId="168" fontId="25" fillId="3" borderId="0" xfId="0" applyNumberFormat="1" applyFont="1" applyFill="1" applyAlignment="1" applyProtection="1">
      <alignment horizontal="center"/>
      <protection locked="0"/>
    </xf>
    <xf numFmtId="173" fontId="5" fillId="2" borderId="0" xfId="0" applyNumberFormat="1" applyFont="1" applyFill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5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 refreshError="1"/>
      <sheetData sheetId="1" refreshError="1"/>
      <sheetData sheetId="2">
        <row r="18">
          <cell r="B18" t="str">
            <v>ABACAVIR SULFATE 300MG TABLETS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7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300MG TABLETS</v>
      </c>
      <c r="C17" s="220"/>
      <c r="D17" s="9"/>
      <c r="E17" s="71"/>
    </row>
    <row r="18" spans="1:6" ht="16.5" customHeight="1" x14ac:dyDescent="0.3">
      <c r="A18" s="11" t="s">
        <v>4</v>
      </c>
      <c r="B18" s="8" t="str">
        <f>Abacavir!B19</f>
        <v>NDQD201508098</v>
      </c>
      <c r="C18" s="71"/>
      <c r="D18" s="71"/>
      <c r="E18" s="71"/>
    </row>
    <row r="19" spans="1:6" ht="16.5" customHeight="1" x14ac:dyDescent="0.3">
      <c r="A19" s="11" t="s">
        <v>6</v>
      </c>
      <c r="B19" s="12">
        <f>[1]Abacavir!B28</f>
        <v>99.4</v>
      </c>
      <c r="C19" s="71"/>
      <c r="D19" s="71"/>
      <c r="E19" s="71"/>
    </row>
    <row r="20" spans="1:6" ht="16.5" customHeight="1" x14ac:dyDescent="0.3">
      <c r="A20" s="7" t="s">
        <v>8</v>
      </c>
      <c r="B20" s="12">
        <f>[1]Abacavir!D43</f>
        <v>30.13</v>
      </c>
      <c r="C20" s="71"/>
      <c r="D20" s="71"/>
      <c r="E20" s="71"/>
    </row>
    <row r="21" spans="1:6" ht="16.5" customHeight="1" x14ac:dyDescent="0.3">
      <c r="A21" s="7" t="s">
        <v>10</v>
      </c>
      <c r="B21" s="279">
        <f>[1]Abacavir!D46</f>
        <v>0.25569086297930704</v>
      </c>
      <c r="C21" s="71"/>
      <c r="D21" s="71"/>
      <c r="E21" s="71"/>
    </row>
    <row r="22" spans="1:6" ht="15.75" customHeight="1" x14ac:dyDescent="0.25">
      <c r="A22" s="10"/>
      <c r="B22" s="71"/>
      <c r="C22" s="71"/>
      <c r="D22" s="71"/>
      <c r="E22" s="71"/>
    </row>
    <row r="23" spans="1:6" ht="16.5" customHeight="1" x14ac:dyDescent="0.3">
      <c r="A23" s="13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6" ht="16.5" customHeight="1" x14ac:dyDescent="0.3">
      <c r="A24" s="16">
        <v>1</v>
      </c>
      <c r="B24" s="17">
        <v>45994636</v>
      </c>
      <c r="C24" s="17">
        <v>7436.49</v>
      </c>
      <c r="D24" s="18">
        <v>1.06</v>
      </c>
      <c r="E24" s="19">
        <v>7</v>
      </c>
    </row>
    <row r="25" spans="1:6" ht="16.5" customHeight="1" x14ac:dyDescent="0.3">
      <c r="A25" s="16">
        <v>2</v>
      </c>
      <c r="B25" s="17">
        <v>45974352</v>
      </c>
      <c r="C25" s="17">
        <v>7406.94</v>
      </c>
      <c r="D25" s="18">
        <v>1.05</v>
      </c>
      <c r="E25" s="18">
        <v>7.01</v>
      </c>
    </row>
    <row r="26" spans="1:6" ht="16.5" customHeight="1" x14ac:dyDescent="0.3">
      <c r="A26" s="16">
        <v>3</v>
      </c>
      <c r="B26" s="17">
        <v>46210905</v>
      </c>
      <c r="C26" s="17">
        <v>7350.18</v>
      </c>
      <c r="D26" s="18">
        <v>1.05</v>
      </c>
      <c r="E26" s="18">
        <v>7.02</v>
      </c>
    </row>
    <row r="27" spans="1:6" ht="16.5" customHeight="1" x14ac:dyDescent="0.3">
      <c r="A27" s="16">
        <v>4</v>
      </c>
      <c r="B27" s="17">
        <v>46345916</v>
      </c>
      <c r="C27" s="17">
        <v>7390.44</v>
      </c>
      <c r="D27" s="18">
        <v>1.04</v>
      </c>
      <c r="E27" s="18">
        <v>7.01</v>
      </c>
    </row>
    <row r="28" spans="1:6" ht="16.5" customHeight="1" x14ac:dyDescent="0.3">
      <c r="A28" s="16">
        <v>5</v>
      </c>
      <c r="B28" s="17">
        <v>46271118</v>
      </c>
      <c r="C28" s="17">
        <v>7318.72</v>
      </c>
      <c r="D28" s="18">
        <v>1.06</v>
      </c>
      <c r="E28" s="18">
        <v>7.01</v>
      </c>
    </row>
    <row r="29" spans="1:6" ht="16.5" customHeight="1" x14ac:dyDescent="0.3">
      <c r="A29" s="16">
        <v>6</v>
      </c>
      <c r="B29" s="20">
        <v>46269446</v>
      </c>
      <c r="C29" s="20">
        <v>7283.77</v>
      </c>
      <c r="D29" s="21">
        <v>1.04</v>
      </c>
      <c r="E29" s="21">
        <v>7.04</v>
      </c>
    </row>
    <row r="30" spans="1:6" ht="16.5" customHeight="1" x14ac:dyDescent="0.3">
      <c r="A30" s="22" t="s">
        <v>17</v>
      </c>
      <c r="B30" s="23">
        <f>AVERAGE(B24:B29)</f>
        <v>46177728.833333336</v>
      </c>
      <c r="C30" s="24">
        <f>AVERAGE(C24:C29)</f>
        <v>7364.4233333333323</v>
      </c>
      <c r="D30" s="25">
        <f>AVERAGE(D24:D29)</f>
        <v>1.05</v>
      </c>
      <c r="E30" s="25">
        <f>AVERAGE(E24:E29)</f>
        <v>7.0149999999999997</v>
      </c>
    </row>
    <row r="31" spans="1:6" ht="16.5" customHeight="1" x14ac:dyDescent="0.3">
      <c r="A31" s="26" t="s">
        <v>18</v>
      </c>
      <c r="B31" s="27">
        <f>(STDEV(B24:B29)/B30)</f>
        <v>3.3744500306428929E-3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1"/>
      <c r="B35" s="36" t="s">
        <v>22</v>
      </c>
      <c r="C35" s="37"/>
      <c r="D35" s="37"/>
      <c r="E35" s="38"/>
      <c r="F35" s="2"/>
    </row>
    <row r="36" spans="1:6" ht="16.5" customHeight="1" x14ac:dyDescent="0.3">
      <c r="A36" s="11"/>
      <c r="B36" s="39" t="s">
        <v>23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[2]Abacavir!B79</f>
        <v>Abacavir sulphate</v>
      </c>
      <c r="C39" s="71"/>
      <c r="D39" s="71"/>
      <c r="E39" s="71"/>
    </row>
    <row r="40" spans="1:6" ht="16.5" customHeight="1" x14ac:dyDescent="0.3">
      <c r="A40" s="11" t="s">
        <v>6</v>
      </c>
      <c r="B40" s="12">
        <f>[2]Abacavir!B81</f>
        <v>99.4</v>
      </c>
      <c r="C40" s="71"/>
      <c r="D40" s="71"/>
      <c r="E40" s="71"/>
    </row>
    <row r="41" spans="1:6" ht="16.5" customHeight="1" x14ac:dyDescent="0.3">
      <c r="A41" s="7" t="s">
        <v>8</v>
      </c>
      <c r="B41" s="12">
        <f>[2]Abacavir!D96</f>
        <v>29.06</v>
      </c>
      <c r="C41" s="71"/>
      <c r="D41" s="71"/>
      <c r="E41" s="71"/>
    </row>
    <row r="42" spans="1:6" ht="16.5" customHeight="1" x14ac:dyDescent="0.3">
      <c r="A42" s="7" t="s">
        <v>10</v>
      </c>
      <c r="B42" s="12">
        <f>[2]Abacavir!D99</f>
        <v>4.9323584704654561E-2</v>
      </c>
      <c r="C42" s="71"/>
      <c r="D42" s="71"/>
      <c r="E42" s="71"/>
    </row>
    <row r="43" spans="1:6" ht="15.75" customHeight="1" x14ac:dyDescent="0.25">
      <c r="A43" s="10"/>
      <c r="B43" s="71"/>
      <c r="C43" s="71"/>
      <c r="D43" s="71"/>
      <c r="E43" s="71"/>
    </row>
    <row r="44" spans="1:6" ht="16.5" customHeight="1" x14ac:dyDescent="0.3">
      <c r="A44" s="13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17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18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5" t="s">
        <v>25</v>
      </c>
      <c r="C59" s="285"/>
      <c r="E59" s="44" t="s">
        <v>26</v>
      </c>
      <c r="F59" s="45"/>
      <c r="G59" s="44" t="s">
        <v>27</v>
      </c>
    </row>
    <row r="60" spans="1:7" ht="28.5" customHeight="1" x14ac:dyDescent="0.3">
      <c r="A60" s="46" t="s">
        <v>28</v>
      </c>
      <c r="B60" s="47"/>
      <c r="C60" s="47" t="s">
        <v>128</v>
      </c>
      <c r="E60" s="47" t="s">
        <v>129</v>
      </c>
      <c r="F60" s="2"/>
      <c r="G60" s="48"/>
    </row>
    <row r="61" spans="1:7" ht="27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F34" sqref="F3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5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30</v>
      </c>
      <c r="B11" s="290"/>
      <c r="C11" s="290"/>
      <c r="D11" s="290"/>
      <c r="E11" s="290"/>
      <c r="F11" s="291"/>
      <c r="G11" s="90"/>
    </row>
    <row r="12" spans="1:7" ht="16.5" customHeight="1" x14ac:dyDescent="0.3">
      <c r="A12" s="288" t="s">
        <v>31</v>
      </c>
      <c r="B12" s="288"/>
      <c r="C12" s="288"/>
      <c r="D12" s="288"/>
      <c r="E12" s="288"/>
      <c r="F12" s="288"/>
      <c r="G12" s="89"/>
    </row>
    <row r="14" spans="1:7" ht="16.5" customHeight="1" x14ac:dyDescent="0.3">
      <c r="A14" s="293" t="s">
        <v>32</v>
      </c>
      <c r="B14" s="293"/>
      <c r="C14" s="59" t="s">
        <v>5</v>
      </c>
    </row>
    <row r="15" spans="1:7" ht="16.5" customHeight="1" x14ac:dyDescent="0.3">
      <c r="A15" s="293" t="s">
        <v>33</v>
      </c>
      <c r="B15" s="293"/>
      <c r="C15" s="59" t="s">
        <v>7</v>
      </c>
    </row>
    <row r="16" spans="1:7" ht="16.5" customHeight="1" x14ac:dyDescent="0.3">
      <c r="A16" s="293" t="s">
        <v>34</v>
      </c>
      <c r="B16" s="293"/>
      <c r="C16" s="59" t="s">
        <v>9</v>
      </c>
    </row>
    <row r="17" spans="1:5" ht="16.5" customHeight="1" x14ac:dyDescent="0.3">
      <c r="A17" s="293" t="s">
        <v>35</v>
      </c>
      <c r="B17" s="293"/>
      <c r="C17" s="59" t="s">
        <v>11</v>
      </c>
    </row>
    <row r="18" spans="1:5" ht="16.5" customHeight="1" x14ac:dyDescent="0.3">
      <c r="A18" s="293" t="s">
        <v>36</v>
      </c>
      <c r="B18" s="293"/>
      <c r="C18" s="94" t="str">
        <f>Abacavir!B22</f>
        <v>21st Sept 2015</v>
      </c>
    </row>
    <row r="19" spans="1:5" ht="16.5" customHeight="1" x14ac:dyDescent="0.3">
      <c r="A19" s="293" t="s">
        <v>37</v>
      </c>
      <c r="B19" s="293"/>
      <c r="C19" s="94" t="str">
        <f>Abacavir!B23</f>
        <v>30th Sept 2015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8" t="s">
        <v>1</v>
      </c>
      <c r="B21" s="288"/>
      <c r="C21" s="58" t="s">
        <v>38</v>
      </c>
      <c r="D21" s="65"/>
    </row>
    <row r="22" spans="1:5" ht="15.75" customHeight="1" x14ac:dyDescent="0.3">
      <c r="A22" s="292"/>
      <c r="B22" s="292"/>
      <c r="C22" s="56"/>
      <c r="D22" s="292"/>
      <c r="E22" s="292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280">
        <v>783.59</v>
      </c>
      <c r="D24" s="86">
        <f t="shared" ref="D24:D43" si="0">(C24-$C$46)/$C$46</f>
        <v>-1.2355170990398836E-2</v>
      </c>
      <c r="E24" s="52"/>
    </row>
    <row r="25" spans="1:5" ht="15.75" customHeight="1" x14ac:dyDescent="0.3">
      <c r="C25" s="280">
        <v>805.57</v>
      </c>
      <c r="D25" s="87">
        <f t="shared" si="0"/>
        <v>1.5348645216585749E-2</v>
      </c>
      <c r="E25" s="52"/>
    </row>
    <row r="26" spans="1:5" ht="15.75" customHeight="1" x14ac:dyDescent="0.3">
      <c r="C26" s="280">
        <v>806.96</v>
      </c>
      <c r="D26" s="87">
        <f t="shared" si="0"/>
        <v>1.7100615395280388E-2</v>
      </c>
      <c r="E26" s="52"/>
    </row>
    <row r="27" spans="1:5" ht="15.75" customHeight="1" x14ac:dyDescent="0.3">
      <c r="C27" s="280">
        <v>782.36</v>
      </c>
      <c r="D27" s="87">
        <f t="shared" si="0"/>
        <v>-1.3905475537013554E-2</v>
      </c>
      <c r="E27" s="52"/>
    </row>
    <row r="28" spans="1:5" ht="15.75" customHeight="1" x14ac:dyDescent="0.3">
      <c r="C28" s="280">
        <v>805.54</v>
      </c>
      <c r="D28" s="87">
        <f t="shared" si="0"/>
        <v>1.5310832910570647E-2</v>
      </c>
      <c r="E28" s="52"/>
    </row>
    <row r="29" spans="1:5" ht="15.75" customHeight="1" x14ac:dyDescent="0.3">
      <c r="C29" s="280">
        <v>797.27</v>
      </c>
      <c r="D29" s="87">
        <f t="shared" si="0"/>
        <v>4.8872405524377164E-3</v>
      </c>
      <c r="E29" s="52"/>
    </row>
    <row r="30" spans="1:5" ht="15.75" customHeight="1" x14ac:dyDescent="0.3">
      <c r="C30" s="280">
        <v>794.04</v>
      </c>
      <c r="D30" s="87">
        <f t="shared" si="0"/>
        <v>8.1611560482349236E-4</v>
      </c>
      <c r="E30" s="52"/>
    </row>
    <row r="31" spans="1:5" ht="15.75" customHeight="1" x14ac:dyDescent="0.3">
      <c r="C31" s="280">
        <v>784.16</v>
      </c>
      <c r="D31" s="87">
        <f t="shared" si="0"/>
        <v>-1.1636737176114057E-2</v>
      </c>
      <c r="E31" s="52"/>
    </row>
    <row r="32" spans="1:5" ht="15.75" customHeight="1" x14ac:dyDescent="0.3">
      <c r="C32" s="280">
        <v>791.41</v>
      </c>
      <c r="D32" s="87">
        <f t="shared" si="0"/>
        <v>-2.498763222490851E-3</v>
      </c>
      <c r="E32" s="52"/>
    </row>
    <row r="33" spans="1:7" ht="15.75" customHeight="1" x14ac:dyDescent="0.3">
      <c r="C33" s="280">
        <v>788.78</v>
      </c>
      <c r="D33" s="87">
        <f t="shared" si="0"/>
        <v>-5.8136420498051946E-3</v>
      </c>
      <c r="E33" s="52"/>
    </row>
    <row r="34" spans="1:7" ht="15.75" customHeight="1" x14ac:dyDescent="0.3">
      <c r="C34" s="280">
        <v>790.82</v>
      </c>
      <c r="D34" s="87">
        <f t="shared" si="0"/>
        <v>-3.2424052407856022E-3</v>
      </c>
      <c r="E34" s="52"/>
    </row>
    <row r="35" spans="1:7" ht="15.75" customHeight="1" x14ac:dyDescent="0.3">
      <c r="C35" s="280">
        <v>793.76</v>
      </c>
      <c r="D35" s="87">
        <f t="shared" si="0"/>
        <v>4.6320074868359601E-4</v>
      </c>
      <c r="E35" s="52"/>
    </row>
    <row r="36" spans="1:7" ht="15.75" customHeight="1" x14ac:dyDescent="0.3">
      <c r="C36" s="280">
        <v>790.84</v>
      </c>
      <c r="D36" s="87">
        <f t="shared" si="0"/>
        <v>-3.21719703677563E-3</v>
      </c>
      <c r="E36" s="52"/>
    </row>
    <row r="37" spans="1:7" ht="15.75" customHeight="1" x14ac:dyDescent="0.3">
      <c r="C37" s="280">
        <v>798.7</v>
      </c>
      <c r="D37" s="87">
        <f t="shared" si="0"/>
        <v>6.6896271391524422E-3</v>
      </c>
      <c r="E37" s="52"/>
    </row>
    <row r="38" spans="1:7" ht="15.75" customHeight="1" x14ac:dyDescent="0.3">
      <c r="C38" s="280">
        <v>796.57</v>
      </c>
      <c r="D38" s="87">
        <f t="shared" si="0"/>
        <v>4.0049534120879752E-3</v>
      </c>
      <c r="E38" s="52"/>
    </row>
    <row r="39" spans="1:7" ht="15.75" customHeight="1" x14ac:dyDescent="0.3">
      <c r="C39" s="280">
        <v>791.32</v>
      </c>
      <c r="D39" s="87">
        <f t="shared" si="0"/>
        <v>-2.6122001405357257E-3</v>
      </c>
      <c r="E39" s="52"/>
    </row>
    <row r="40" spans="1:7" ht="15.75" customHeight="1" x14ac:dyDescent="0.3">
      <c r="C40" s="280">
        <v>791.51</v>
      </c>
      <c r="D40" s="87">
        <f t="shared" si="0"/>
        <v>-2.3727222024408474E-3</v>
      </c>
      <c r="E40" s="52"/>
    </row>
    <row r="41" spans="1:7" ht="15.75" customHeight="1" x14ac:dyDescent="0.3">
      <c r="C41" s="280">
        <v>799.9</v>
      </c>
      <c r="D41" s="87">
        <f t="shared" si="0"/>
        <v>8.2021193797520604E-3</v>
      </c>
      <c r="E41" s="52"/>
    </row>
    <row r="42" spans="1:7" ht="15.75" customHeight="1" x14ac:dyDescent="0.3">
      <c r="C42" s="280">
        <v>789.57</v>
      </c>
      <c r="D42" s="87">
        <f t="shared" si="0"/>
        <v>-4.817917991410293E-3</v>
      </c>
      <c r="E42" s="52"/>
    </row>
    <row r="43" spans="1:7" ht="16.5" customHeight="1" x14ac:dyDescent="0.3">
      <c r="C43" s="281">
        <v>785.18</v>
      </c>
      <c r="D43" s="88">
        <f t="shared" si="0"/>
        <v>-1.0351118771604332E-2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15867.85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793.39250000000004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286">
        <f>C46</f>
        <v>793.39250000000004</v>
      </c>
      <c r="C49" s="92">
        <f>-IF(C46&lt;=80,10%,IF(C46&lt;250,7.5%,5%))</f>
        <v>-0.05</v>
      </c>
      <c r="D49" s="80">
        <f>IF(C46&lt;=80,C46*0.9,IF(C46&lt;250,C46*0.925,C46*0.95))</f>
        <v>753.72287500000004</v>
      </c>
    </row>
    <row r="50" spans="1:6" ht="17.25" customHeight="1" x14ac:dyDescent="0.3">
      <c r="B50" s="287"/>
      <c r="C50" s="93">
        <f>IF(C46&lt;=80, 10%, IF(C46&lt;250, 7.5%, 5%))</f>
        <v>0.05</v>
      </c>
      <c r="D50" s="80">
        <f>IF(C46&lt;=80, C46*1.1, IF(C46&lt;250, C46*1.075, C46*1.05))</f>
        <v>833.06212500000004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/>
      <c r="C53" s="71"/>
      <c r="D53" s="70"/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9" zoomScale="60" zoomScaleNormal="40" zoomScalePageLayoutView="50" workbookViewId="0">
      <selection activeCell="D94" sqref="D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44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45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5"/>
    </row>
    <row r="16" spans="1:9" ht="19.5" customHeight="1" x14ac:dyDescent="0.3">
      <c r="A16" s="331" t="s">
        <v>30</v>
      </c>
      <c r="B16" s="332"/>
      <c r="C16" s="332"/>
      <c r="D16" s="332"/>
      <c r="E16" s="332"/>
      <c r="F16" s="332"/>
      <c r="G16" s="332"/>
      <c r="H16" s="333"/>
    </row>
    <row r="17" spans="1:14" ht="20.25" customHeight="1" x14ac:dyDescent="0.25">
      <c r="A17" s="334" t="s">
        <v>46</v>
      </c>
      <c r="B17" s="334"/>
      <c r="C17" s="334"/>
      <c r="D17" s="334"/>
      <c r="E17" s="334"/>
      <c r="F17" s="334"/>
      <c r="G17" s="334"/>
      <c r="H17" s="334"/>
    </row>
    <row r="18" spans="1:14" ht="26.25" customHeight="1" x14ac:dyDescent="0.4">
      <c r="A18" s="97" t="s">
        <v>32</v>
      </c>
      <c r="B18" s="330" t="s">
        <v>5</v>
      </c>
      <c r="C18" s="330"/>
      <c r="D18" s="261"/>
      <c r="E18" s="98"/>
      <c r="F18" s="99"/>
      <c r="G18" s="99"/>
      <c r="H18" s="99"/>
    </row>
    <row r="19" spans="1:14" ht="26.25" customHeight="1" x14ac:dyDescent="0.4">
      <c r="A19" s="97" t="s">
        <v>33</v>
      </c>
      <c r="B19" s="100" t="s">
        <v>7</v>
      </c>
      <c r="C19" s="263">
        <v>21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34</v>
      </c>
      <c r="B20" s="335" t="s">
        <v>9</v>
      </c>
      <c r="C20" s="335"/>
      <c r="D20" s="99"/>
      <c r="E20" s="99"/>
      <c r="F20" s="99"/>
      <c r="G20" s="99"/>
      <c r="H20" s="99"/>
    </row>
    <row r="21" spans="1:14" ht="26.25" customHeight="1" x14ac:dyDescent="0.4">
      <c r="A21" s="97" t="s">
        <v>35</v>
      </c>
      <c r="B21" s="335" t="s">
        <v>11</v>
      </c>
      <c r="C21" s="335"/>
      <c r="D21" s="335"/>
      <c r="E21" s="335"/>
      <c r="F21" s="335"/>
      <c r="G21" s="335"/>
      <c r="H21" s="335"/>
      <c r="I21" s="101"/>
    </row>
    <row r="22" spans="1:14" ht="26.25" customHeight="1" x14ac:dyDescent="0.4">
      <c r="A22" s="97" t="s">
        <v>36</v>
      </c>
      <c r="B22" s="278" t="s">
        <v>126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37</v>
      </c>
      <c r="B23" s="278" t="s">
        <v>127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329" t="s">
        <v>124</v>
      </c>
      <c r="C26" s="330"/>
    </row>
    <row r="27" spans="1:14" ht="26.25" customHeight="1" x14ac:dyDescent="0.4">
      <c r="A27" s="105" t="s">
        <v>47</v>
      </c>
      <c r="B27" s="326" t="s">
        <v>125</v>
      </c>
      <c r="C27" s="327"/>
    </row>
    <row r="28" spans="1:14" ht="27" customHeight="1" x14ac:dyDescent="0.4">
      <c r="A28" s="105" t="s">
        <v>6</v>
      </c>
      <c r="B28" s="106">
        <v>99.4</v>
      </c>
    </row>
    <row r="29" spans="1:14" s="13" customFormat="1" ht="27" customHeight="1" x14ac:dyDescent="0.4">
      <c r="A29" s="105" t="s">
        <v>48</v>
      </c>
      <c r="B29" s="107">
        <v>0</v>
      </c>
      <c r="C29" s="303" t="s">
        <v>49</v>
      </c>
      <c r="D29" s="304"/>
      <c r="E29" s="304"/>
      <c r="F29" s="304"/>
      <c r="G29" s="305"/>
      <c r="I29" s="108"/>
      <c r="J29" s="108"/>
      <c r="K29" s="108"/>
      <c r="L29" s="108"/>
    </row>
    <row r="30" spans="1:14" s="13" customFormat="1" ht="19.5" customHeight="1" x14ac:dyDescent="0.3">
      <c r="A30" s="105" t="s">
        <v>50</v>
      </c>
      <c r="B30" s="109">
        <f>B28-B29</f>
        <v>99.4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13" customFormat="1" ht="27" customHeight="1" x14ac:dyDescent="0.4">
      <c r="A31" s="105" t="s">
        <v>51</v>
      </c>
      <c r="B31" s="275">
        <v>572.66</v>
      </c>
      <c r="C31" s="306" t="s">
        <v>52</v>
      </c>
      <c r="D31" s="307"/>
      <c r="E31" s="307"/>
      <c r="F31" s="307"/>
      <c r="G31" s="307"/>
      <c r="H31" s="308"/>
      <c r="I31" s="108"/>
      <c r="J31" s="108"/>
      <c r="K31" s="108"/>
      <c r="L31" s="108"/>
    </row>
    <row r="32" spans="1:14" s="13" customFormat="1" ht="27" customHeight="1" x14ac:dyDescent="0.4">
      <c r="A32" s="105" t="s">
        <v>53</v>
      </c>
      <c r="B32" s="275">
        <v>670.76</v>
      </c>
      <c r="C32" s="306" t="s">
        <v>54</v>
      </c>
      <c r="D32" s="307"/>
      <c r="E32" s="307"/>
      <c r="F32" s="307"/>
      <c r="G32" s="307"/>
      <c r="H32" s="308"/>
      <c r="I32" s="108"/>
      <c r="J32" s="108"/>
      <c r="K32" s="108"/>
      <c r="L32" s="112"/>
      <c r="M32" s="112"/>
      <c r="N32" s="113"/>
    </row>
    <row r="33" spans="1:14" s="13" customFormat="1" ht="17.25" customHeight="1" x14ac:dyDescent="0.3">
      <c r="A33" s="105"/>
      <c r="B33" s="114"/>
      <c r="C33" s="115"/>
      <c r="D33" s="115"/>
      <c r="E33" s="115"/>
      <c r="F33" s="115"/>
      <c r="G33" s="115"/>
      <c r="H33" s="115"/>
      <c r="I33" s="108"/>
      <c r="J33" s="108"/>
      <c r="K33" s="108"/>
      <c r="L33" s="112"/>
      <c r="M33" s="112"/>
      <c r="N33" s="113"/>
    </row>
    <row r="34" spans="1:14" s="13" customFormat="1" ht="18.75" x14ac:dyDescent="0.3">
      <c r="A34" s="105" t="s">
        <v>55</v>
      </c>
      <c r="B34" s="116">
        <f>B31/B32</f>
        <v>0.85374798735762414</v>
      </c>
      <c r="C34" s="96" t="s">
        <v>56</v>
      </c>
      <c r="D34" s="96"/>
      <c r="E34" s="96"/>
      <c r="F34" s="96"/>
      <c r="G34" s="96"/>
      <c r="I34" s="108"/>
      <c r="J34" s="108"/>
      <c r="K34" s="108"/>
      <c r="L34" s="112"/>
      <c r="M34" s="112"/>
      <c r="N34" s="113"/>
    </row>
    <row r="35" spans="1:14" s="13" customFormat="1" ht="19.5" customHeight="1" x14ac:dyDescent="0.3">
      <c r="A35" s="105"/>
      <c r="B35" s="109"/>
      <c r="G35" s="96"/>
      <c r="I35" s="108"/>
      <c r="J35" s="108"/>
      <c r="K35" s="108"/>
      <c r="L35" s="112"/>
      <c r="M35" s="112"/>
      <c r="N35" s="113"/>
    </row>
    <row r="36" spans="1:14" s="13" customFormat="1" ht="27" customHeight="1" x14ac:dyDescent="0.4">
      <c r="A36" s="117" t="s">
        <v>57</v>
      </c>
      <c r="B36" s="118">
        <v>50</v>
      </c>
      <c r="C36" s="96"/>
      <c r="D36" s="309" t="s">
        <v>58</v>
      </c>
      <c r="E36" s="328"/>
      <c r="F36" s="309" t="s">
        <v>59</v>
      </c>
      <c r="G36" s="310"/>
      <c r="J36" s="108"/>
      <c r="K36" s="108"/>
      <c r="L36" s="112"/>
      <c r="M36" s="112"/>
      <c r="N36" s="113"/>
    </row>
    <row r="37" spans="1:14" s="13" customFormat="1" ht="27" customHeight="1" x14ac:dyDescent="0.4">
      <c r="A37" s="119" t="s">
        <v>60</v>
      </c>
      <c r="B37" s="120">
        <v>10</v>
      </c>
      <c r="C37" s="121" t="s">
        <v>61</v>
      </c>
      <c r="D37" s="122" t="s">
        <v>62</v>
      </c>
      <c r="E37" s="123" t="s">
        <v>63</v>
      </c>
      <c r="F37" s="122" t="s">
        <v>62</v>
      </c>
      <c r="G37" s="124" t="s">
        <v>63</v>
      </c>
      <c r="I37" s="125" t="s">
        <v>64</v>
      </c>
      <c r="J37" s="108"/>
      <c r="K37" s="108"/>
      <c r="L37" s="112"/>
      <c r="M37" s="112"/>
      <c r="N37" s="113"/>
    </row>
    <row r="38" spans="1:14" s="13" customFormat="1" ht="26.25" customHeight="1" x14ac:dyDescent="0.4">
      <c r="A38" s="119" t="s">
        <v>65</v>
      </c>
      <c r="B38" s="120">
        <v>20</v>
      </c>
      <c r="C38" s="126">
        <v>1</v>
      </c>
      <c r="D38" s="282">
        <v>45994636</v>
      </c>
      <c r="E38" s="127">
        <f>IF(ISBLANK(D38),"-",$D$48/$D$45*D38)</f>
        <v>53965130.545617886</v>
      </c>
      <c r="F38" s="273">
        <v>47248388</v>
      </c>
      <c r="G38" s="128">
        <f>IF(ISBLANK(F38),"-",$D$48/$F$45*F38)</f>
        <v>53707110.122841738</v>
      </c>
      <c r="I38" s="129"/>
      <c r="J38" s="108"/>
      <c r="K38" s="108"/>
      <c r="L38" s="112"/>
      <c r="M38" s="112"/>
      <c r="N38" s="113"/>
    </row>
    <row r="39" spans="1:14" s="13" customFormat="1" ht="26.25" customHeight="1" x14ac:dyDescent="0.4">
      <c r="A39" s="119" t="s">
        <v>66</v>
      </c>
      <c r="B39" s="120">
        <v>1</v>
      </c>
      <c r="C39" s="130">
        <v>2</v>
      </c>
      <c r="D39" s="282">
        <v>45974352</v>
      </c>
      <c r="E39" s="132">
        <f>IF(ISBLANK(D39),"-",$D$48/$D$45*D39)</f>
        <v>53941331.494180948</v>
      </c>
      <c r="F39" s="274">
        <v>47265772</v>
      </c>
      <c r="G39" s="133">
        <f>IF(ISBLANK(F39),"-",$D$48/$F$45*F39)</f>
        <v>53726870.466885127</v>
      </c>
      <c r="I39" s="311">
        <f>ABS((F43/D43*D42)-F42)/D42</f>
        <v>6.1930105538491893E-3</v>
      </c>
      <c r="J39" s="108"/>
      <c r="K39" s="108"/>
      <c r="L39" s="112"/>
      <c r="M39" s="112"/>
      <c r="N39" s="113"/>
    </row>
    <row r="40" spans="1:14" ht="26.25" customHeight="1" x14ac:dyDescent="0.4">
      <c r="A40" s="119" t="s">
        <v>67</v>
      </c>
      <c r="B40" s="120">
        <v>1</v>
      </c>
      <c r="C40" s="130">
        <v>3</v>
      </c>
      <c r="D40" s="282">
        <v>46210905</v>
      </c>
      <c r="E40" s="132">
        <f>IF(ISBLANK(D40),"-",$D$48/$D$45*D40)</f>
        <v>54218877.195944026</v>
      </c>
      <c r="F40" s="274">
        <v>47258523</v>
      </c>
      <c r="G40" s="133">
        <f>IF(ISBLANK(F40),"-",$D$48/$F$45*F40)</f>
        <v>53718630.548916273</v>
      </c>
      <c r="I40" s="311"/>
      <c r="L40" s="112"/>
      <c r="M40" s="112"/>
      <c r="N40" s="134"/>
    </row>
    <row r="41" spans="1:14" ht="27" customHeight="1" x14ac:dyDescent="0.4">
      <c r="A41" s="119" t="s">
        <v>68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134"/>
    </row>
    <row r="42" spans="1:14" ht="27" customHeight="1" x14ac:dyDescent="0.4">
      <c r="A42" s="119" t="s">
        <v>69</v>
      </c>
      <c r="B42" s="120">
        <v>1</v>
      </c>
      <c r="C42" s="140" t="s">
        <v>70</v>
      </c>
      <c r="D42" s="141">
        <f>AVERAGE(D38:D41)</f>
        <v>46059964.333333336</v>
      </c>
      <c r="E42" s="142">
        <f>AVERAGE(E38:E41)</f>
        <v>54041779.745247625</v>
      </c>
      <c r="F42" s="141">
        <f>AVERAGE(F38:F41)</f>
        <v>47257561</v>
      </c>
      <c r="G42" s="143">
        <f>AVERAGE(G38:G41)</f>
        <v>53717537.046214379</v>
      </c>
      <c r="H42" s="144"/>
    </row>
    <row r="43" spans="1:14" ht="26.25" customHeight="1" x14ac:dyDescent="0.4">
      <c r="A43" s="119" t="s">
        <v>71</v>
      </c>
      <c r="B43" s="120">
        <v>1</v>
      </c>
      <c r="C43" s="145" t="s">
        <v>72</v>
      </c>
      <c r="D43" s="146">
        <v>30.13</v>
      </c>
      <c r="E43" s="134"/>
      <c r="F43" s="146">
        <v>31.1</v>
      </c>
      <c r="H43" s="144"/>
    </row>
    <row r="44" spans="1:14" ht="26.25" customHeight="1" x14ac:dyDescent="0.4">
      <c r="A44" s="119" t="s">
        <v>73</v>
      </c>
      <c r="B44" s="120">
        <v>1</v>
      </c>
      <c r="C44" s="147" t="s">
        <v>74</v>
      </c>
      <c r="D44" s="148">
        <f>D43*$B$34</f>
        <v>25.723426859085215</v>
      </c>
      <c r="E44" s="149"/>
      <c r="F44" s="148">
        <f>F43*$B$34</f>
        <v>26.551562406822111</v>
      </c>
      <c r="H44" s="144"/>
    </row>
    <row r="45" spans="1:14" ht="19.5" customHeight="1" x14ac:dyDescent="0.3">
      <c r="A45" s="119" t="s">
        <v>75</v>
      </c>
      <c r="B45" s="150">
        <f>(B44/B43)*(B42/B41)*(B40/B39)*(B38/B37)*B36</f>
        <v>100</v>
      </c>
      <c r="C45" s="147" t="s">
        <v>76</v>
      </c>
      <c r="D45" s="151">
        <f>D44*$B$30/100</f>
        <v>25.569086297930706</v>
      </c>
      <c r="E45" s="152"/>
      <c r="F45" s="151">
        <f>F44*$B$30/100</f>
        <v>26.392253032381181</v>
      </c>
      <c r="H45" s="144"/>
    </row>
    <row r="46" spans="1:14" ht="19.5" customHeight="1" x14ac:dyDescent="0.3">
      <c r="A46" s="296" t="s">
        <v>77</v>
      </c>
      <c r="B46" s="297"/>
      <c r="C46" s="147" t="s">
        <v>78</v>
      </c>
      <c r="D46" s="153">
        <f>D45/$B$45</f>
        <v>0.25569086297930704</v>
      </c>
      <c r="E46" s="154"/>
      <c r="F46" s="155">
        <f>F45/$B$45</f>
        <v>0.2639225303238118</v>
      </c>
      <c r="H46" s="144"/>
    </row>
    <row r="47" spans="1:14" ht="27" customHeight="1" x14ac:dyDescent="0.4">
      <c r="A47" s="298"/>
      <c r="B47" s="299"/>
      <c r="C47" s="156" t="s">
        <v>79</v>
      </c>
      <c r="D47" s="157">
        <v>0.3</v>
      </c>
      <c r="E47" s="158"/>
      <c r="F47" s="154"/>
      <c r="H47" s="144"/>
    </row>
    <row r="48" spans="1:14" ht="18.75" x14ac:dyDescent="0.3">
      <c r="C48" s="159" t="s">
        <v>80</v>
      </c>
      <c r="D48" s="151">
        <f>D47*$B$45</f>
        <v>30</v>
      </c>
      <c r="F48" s="160"/>
      <c r="H48" s="144"/>
    </row>
    <row r="49" spans="1:12" ht="19.5" customHeight="1" x14ac:dyDescent="0.3">
      <c r="C49" s="161" t="s">
        <v>81</v>
      </c>
      <c r="D49" s="162">
        <f>D48/B34</f>
        <v>35.139175077707542</v>
      </c>
      <c r="F49" s="160"/>
      <c r="H49" s="144"/>
    </row>
    <row r="50" spans="1:12" ht="18.75" x14ac:dyDescent="0.3">
      <c r="C50" s="117" t="s">
        <v>82</v>
      </c>
      <c r="D50" s="163">
        <f>AVERAGE(E38:E41,G38:G41)</f>
        <v>53879658.395731002</v>
      </c>
      <c r="F50" s="164"/>
      <c r="H50" s="144"/>
    </row>
    <row r="51" spans="1:12" ht="18.75" x14ac:dyDescent="0.3">
      <c r="C51" s="119" t="s">
        <v>83</v>
      </c>
      <c r="D51" s="165">
        <f>STDEV(E38:E41,G38:G41)/D50</f>
        <v>3.7601554815895099E-3</v>
      </c>
      <c r="F51" s="164"/>
      <c r="H51" s="144"/>
    </row>
    <row r="52" spans="1:12" ht="19.5" customHeight="1" x14ac:dyDescent="0.3">
      <c r="C52" s="166" t="s">
        <v>19</v>
      </c>
      <c r="D52" s="167">
        <f>COUNT(E38:E41,G38:G41)</f>
        <v>6</v>
      </c>
      <c r="F52" s="164"/>
    </row>
    <row r="54" spans="1:12" ht="18.75" x14ac:dyDescent="0.3">
      <c r="A54" s="168" t="s">
        <v>1</v>
      </c>
      <c r="B54" s="169" t="s">
        <v>84</v>
      </c>
    </row>
    <row r="55" spans="1:12" ht="18.75" x14ac:dyDescent="0.3">
      <c r="A55" s="96" t="s">
        <v>85</v>
      </c>
      <c r="B55" s="170" t="str">
        <f>B21</f>
        <v>Each film coated tablet contains:
Abacavir Sulfate USP equivalent to Abacavir 300mg</v>
      </c>
    </row>
    <row r="56" spans="1:12" ht="26.25" customHeight="1" x14ac:dyDescent="0.4">
      <c r="A56" s="171" t="s">
        <v>86</v>
      </c>
      <c r="B56" s="172">
        <v>300</v>
      </c>
      <c r="C56" s="96" t="str">
        <f>B20</f>
        <v xml:space="preserve">Abacavir Sulfate </v>
      </c>
      <c r="H56" s="173"/>
    </row>
    <row r="57" spans="1:12" ht="18.75" x14ac:dyDescent="0.3">
      <c r="A57" s="170" t="s">
        <v>87</v>
      </c>
      <c r="B57" s="262">
        <f>Uniformity!C46</f>
        <v>793.39250000000004</v>
      </c>
      <c r="H57" s="173"/>
    </row>
    <row r="58" spans="1:12" ht="19.5" customHeight="1" x14ac:dyDescent="0.3">
      <c r="H58" s="173"/>
    </row>
    <row r="59" spans="1:12" s="13" customFormat="1" ht="27" customHeight="1" x14ac:dyDescent="0.4">
      <c r="A59" s="117" t="s">
        <v>88</v>
      </c>
      <c r="B59" s="118">
        <v>200</v>
      </c>
      <c r="C59" s="96"/>
      <c r="D59" s="174" t="s">
        <v>89</v>
      </c>
      <c r="E59" s="175" t="s">
        <v>61</v>
      </c>
      <c r="F59" s="175" t="s">
        <v>62</v>
      </c>
      <c r="G59" s="175" t="s">
        <v>90</v>
      </c>
      <c r="H59" s="121" t="s">
        <v>91</v>
      </c>
      <c r="L59" s="108"/>
    </row>
    <row r="60" spans="1:12" s="13" customFormat="1" ht="26.25" customHeight="1" x14ac:dyDescent="0.4">
      <c r="A60" s="119" t="s">
        <v>92</v>
      </c>
      <c r="B60" s="120">
        <v>10</v>
      </c>
      <c r="C60" s="314" t="s">
        <v>93</v>
      </c>
      <c r="D60" s="317">
        <v>314.10000000000002</v>
      </c>
      <c r="E60" s="176">
        <v>1</v>
      </c>
      <c r="F60" s="177">
        <v>53440783</v>
      </c>
      <c r="G60" s="264">
        <f>IF(ISBLANK(F60),"-",(F60/$D$50*$D$47*$B$68)*($B$57/$D$60))</f>
        <v>300.6418114395845</v>
      </c>
      <c r="H60" s="178">
        <f t="shared" ref="H60:H71" si="0">IF(ISBLANK(F60),"-",G60/$B$56)</f>
        <v>1.0021393714652818</v>
      </c>
      <c r="L60" s="108"/>
    </row>
    <row r="61" spans="1:12" s="13" customFormat="1" ht="26.25" customHeight="1" x14ac:dyDescent="0.4">
      <c r="A61" s="119" t="s">
        <v>94</v>
      </c>
      <c r="B61" s="120">
        <v>20</v>
      </c>
      <c r="C61" s="315"/>
      <c r="D61" s="318"/>
      <c r="E61" s="179">
        <v>2</v>
      </c>
      <c r="F61" s="131">
        <v>53607834</v>
      </c>
      <c r="G61" s="265">
        <f>IF(ISBLANK(F61),"-",(F61/$D$50*$D$47*$B$68)*($B$57/$D$60))</f>
        <v>301.58159024564713</v>
      </c>
      <c r="H61" s="180">
        <f t="shared" si="0"/>
        <v>1.0052719674854904</v>
      </c>
      <c r="L61" s="108"/>
    </row>
    <row r="62" spans="1:12" s="13" customFormat="1" ht="26.25" customHeight="1" x14ac:dyDescent="0.4">
      <c r="A62" s="119" t="s">
        <v>95</v>
      </c>
      <c r="B62" s="120">
        <v>1</v>
      </c>
      <c r="C62" s="315"/>
      <c r="D62" s="318"/>
      <c r="E62" s="179">
        <v>3</v>
      </c>
      <c r="F62" s="181">
        <v>53510130</v>
      </c>
      <c r="G62" s="265">
        <f>IF(ISBLANK(F62),"-",(F62/$D$50*$D$47*$B$68)*($B$57/$D$60))</f>
        <v>301.03193685555942</v>
      </c>
      <c r="H62" s="180">
        <f t="shared" si="0"/>
        <v>1.0034397895185314</v>
      </c>
      <c r="L62" s="108"/>
    </row>
    <row r="63" spans="1:12" ht="27" customHeight="1" x14ac:dyDescent="0.4">
      <c r="A63" s="119" t="s">
        <v>96</v>
      </c>
      <c r="B63" s="120">
        <v>1</v>
      </c>
      <c r="C63" s="325"/>
      <c r="D63" s="319"/>
      <c r="E63" s="182">
        <v>4</v>
      </c>
      <c r="F63" s="183"/>
      <c r="G63" s="265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19" t="s">
        <v>97</v>
      </c>
      <c r="B64" s="120">
        <v>1</v>
      </c>
      <c r="C64" s="314" t="s">
        <v>98</v>
      </c>
      <c r="D64" s="317">
        <v>314.13</v>
      </c>
      <c r="E64" s="176">
        <v>1</v>
      </c>
      <c r="F64" s="177">
        <v>54226819</v>
      </c>
      <c r="G64" s="266">
        <f>IF(ISBLANK(F64),"-",(F64/$D$50*$D$47*$B$68)*($B$57/$D$64))</f>
        <v>305.03467998059739</v>
      </c>
      <c r="H64" s="184">
        <f t="shared" si="0"/>
        <v>1.0167822666019912</v>
      </c>
    </row>
    <row r="65" spans="1:8" ht="26.25" customHeight="1" x14ac:dyDescent="0.4">
      <c r="A65" s="119" t="s">
        <v>99</v>
      </c>
      <c r="B65" s="120">
        <v>1</v>
      </c>
      <c r="C65" s="315"/>
      <c r="D65" s="318"/>
      <c r="E65" s="179">
        <v>2</v>
      </c>
      <c r="F65" s="131">
        <v>53912758</v>
      </c>
      <c r="G65" s="267">
        <f>IF(ISBLANK(F65),"-",(F65/$D$50*$D$47*$B$68)*($B$57/$D$64))</f>
        <v>303.26803575554356</v>
      </c>
      <c r="H65" s="185">
        <f t="shared" si="0"/>
        <v>1.0108934525184785</v>
      </c>
    </row>
    <row r="66" spans="1:8" ht="26.25" customHeight="1" x14ac:dyDescent="0.4">
      <c r="A66" s="119" t="s">
        <v>100</v>
      </c>
      <c r="B66" s="120">
        <v>1</v>
      </c>
      <c r="C66" s="315"/>
      <c r="D66" s="318"/>
      <c r="E66" s="179">
        <v>3</v>
      </c>
      <c r="F66" s="131">
        <v>54173401</v>
      </c>
      <c r="G66" s="267">
        <f>IF(ISBLANK(F66),"-",(F66/$D$50*$D$47*$B$68)*($B$57/$D$64))</f>
        <v>304.73419503909264</v>
      </c>
      <c r="H66" s="185">
        <f t="shared" si="0"/>
        <v>1.0157806501303088</v>
      </c>
    </row>
    <row r="67" spans="1:8" ht="27" customHeight="1" x14ac:dyDescent="0.4">
      <c r="A67" s="119" t="s">
        <v>101</v>
      </c>
      <c r="B67" s="120">
        <v>1</v>
      </c>
      <c r="C67" s="325"/>
      <c r="D67" s="319"/>
      <c r="E67" s="182">
        <v>4</v>
      </c>
      <c r="F67" s="183"/>
      <c r="G67" s="268" t="str">
        <f>IF(ISBLANK(F67),"-",(F67/$D$50*$D$47*$B$68)*($B$57/$D$64))</f>
        <v>-</v>
      </c>
      <c r="H67" s="186" t="str">
        <f t="shared" si="0"/>
        <v>-</v>
      </c>
    </row>
    <row r="68" spans="1:8" ht="26.25" customHeight="1" x14ac:dyDescent="0.4">
      <c r="A68" s="119" t="s">
        <v>102</v>
      </c>
      <c r="B68" s="187">
        <f>(B67/B66)*(B65/B64)*(B63/B62)*(B61/B60)*B59</f>
        <v>400</v>
      </c>
      <c r="C68" s="314" t="s">
        <v>103</v>
      </c>
      <c r="D68" s="317">
        <v>317.10000000000002</v>
      </c>
      <c r="E68" s="176">
        <v>1</v>
      </c>
      <c r="F68" s="177">
        <v>54256930</v>
      </c>
      <c r="G68" s="266">
        <f>IF(ISBLANK(F68),"-",(F68/$D$50*$D$47*$B$68)*($B$57/$D$68))</f>
        <v>302.3454781890116</v>
      </c>
      <c r="H68" s="180">
        <f t="shared" si="0"/>
        <v>1.0078182606300388</v>
      </c>
    </row>
    <row r="69" spans="1:8" ht="27" customHeight="1" x14ac:dyDescent="0.4">
      <c r="A69" s="166" t="s">
        <v>104</v>
      </c>
      <c r="B69" s="188">
        <f>(D47*B68)/B56*B57</f>
        <v>317.35700000000003</v>
      </c>
      <c r="C69" s="315"/>
      <c r="D69" s="318"/>
      <c r="E69" s="179">
        <v>2</v>
      </c>
      <c r="F69" s="131">
        <v>54287970</v>
      </c>
      <c r="G69" s="267">
        <f>IF(ISBLANK(F69),"-",(F69/$D$50*$D$47*$B$68)*($B$57/$D$68))</f>
        <v>302.51844786575123</v>
      </c>
      <c r="H69" s="180">
        <f t="shared" si="0"/>
        <v>1.0083948262191706</v>
      </c>
    </row>
    <row r="70" spans="1:8" ht="26.25" customHeight="1" x14ac:dyDescent="0.4">
      <c r="A70" s="320" t="s">
        <v>77</v>
      </c>
      <c r="B70" s="321"/>
      <c r="C70" s="315"/>
      <c r="D70" s="318"/>
      <c r="E70" s="179">
        <v>3</v>
      </c>
      <c r="F70" s="131">
        <v>54739050</v>
      </c>
      <c r="G70" s="267">
        <f>IF(ISBLANK(F70),"-",(F70/$D$50*$D$47*$B$68)*($B$57/$D$68))</f>
        <v>305.03208065517549</v>
      </c>
      <c r="H70" s="180">
        <f t="shared" si="0"/>
        <v>1.0167736021839182</v>
      </c>
    </row>
    <row r="71" spans="1:8" ht="27" customHeight="1" x14ac:dyDescent="0.4">
      <c r="A71" s="322"/>
      <c r="B71" s="323"/>
      <c r="C71" s="316"/>
      <c r="D71" s="319"/>
      <c r="E71" s="182">
        <v>4</v>
      </c>
      <c r="F71" s="183"/>
      <c r="G71" s="268" t="str">
        <f>IF(ISBLANK(F71),"-",(F71/$D$50*$D$47*$B$68)*($B$57/$D$68))</f>
        <v>-</v>
      </c>
      <c r="H71" s="189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1"/>
      <c r="G72" s="192" t="s">
        <v>70</v>
      </c>
      <c r="H72" s="193">
        <f>AVERAGE(H60:H71)</f>
        <v>1.00969935408369</v>
      </c>
    </row>
    <row r="73" spans="1:8" ht="26.25" customHeight="1" x14ac:dyDescent="0.4">
      <c r="C73" s="190"/>
      <c r="D73" s="190"/>
      <c r="E73" s="190"/>
      <c r="F73" s="191"/>
      <c r="G73" s="194" t="s">
        <v>83</v>
      </c>
      <c r="H73" s="269">
        <f>STDEV(H60:H71)/H72</f>
        <v>5.6439220499838894E-3</v>
      </c>
    </row>
    <row r="74" spans="1:8" ht="27" customHeight="1" x14ac:dyDescent="0.4">
      <c r="A74" s="190"/>
      <c r="B74" s="190"/>
      <c r="C74" s="191"/>
      <c r="D74" s="191"/>
      <c r="E74" s="195"/>
      <c r="F74" s="191"/>
      <c r="G74" s="196" t="s">
        <v>19</v>
      </c>
      <c r="H74" s="197">
        <f>COUNT(H60:H71)</f>
        <v>9</v>
      </c>
    </row>
    <row r="76" spans="1:8" ht="26.25" customHeight="1" x14ac:dyDescent="0.4">
      <c r="A76" s="104" t="s">
        <v>105</v>
      </c>
      <c r="B76" s="198" t="s">
        <v>106</v>
      </c>
      <c r="C76" s="300" t="str">
        <f>B20</f>
        <v xml:space="preserve">Abacavir Sulfate </v>
      </c>
      <c r="D76" s="300"/>
      <c r="E76" s="199" t="s">
        <v>107</v>
      </c>
      <c r="F76" s="199"/>
      <c r="G76" s="200">
        <f>H72</f>
        <v>1.00969935408369</v>
      </c>
      <c r="H76" s="201"/>
    </row>
    <row r="77" spans="1:8" ht="18.75" x14ac:dyDescent="0.3">
      <c r="A77" s="103" t="s">
        <v>108</v>
      </c>
      <c r="B77" s="103" t="s">
        <v>109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324" t="str">
        <f>B26</f>
        <v>Abacavir Sulphate</v>
      </c>
      <c r="C79" s="324"/>
    </row>
    <row r="80" spans="1:8" ht="26.25" customHeight="1" x14ac:dyDescent="0.4">
      <c r="A80" s="105" t="s">
        <v>47</v>
      </c>
      <c r="B80" s="324" t="str">
        <f>B27</f>
        <v xml:space="preserve">    PRS A12-1</v>
      </c>
      <c r="C80" s="324"/>
    </row>
    <row r="81" spans="1:12" ht="27" customHeight="1" x14ac:dyDescent="0.4">
      <c r="A81" s="105" t="s">
        <v>6</v>
      </c>
      <c r="B81" s="202">
        <f>B28</f>
        <v>99.4</v>
      </c>
    </row>
    <row r="82" spans="1:12" s="13" customFormat="1" ht="27" customHeight="1" x14ac:dyDescent="0.4">
      <c r="A82" s="105" t="s">
        <v>48</v>
      </c>
      <c r="B82" s="107">
        <v>0</v>
      </c>
      <c r="C82" s="303" t="s">
        <v>49</v>
      </c>
      <c r="D82" s="304"/>
      <c r="E82" s="304"/>
      <c r="F82" s="304"/>
      <c r="G82" s="305"/>
      <c r="I82" s="108"/>
      <c r="J82" s="108"/>
      <c r="K82" s="108"/>
      <c r="L82" s="108"/>
    </row>
    <row r="83" spans="1:12" s="13" customFormat="1" ht="19.5" customHeight="1" x14ac:dyDescent="0.3">
      <c r="A83" s="105" t="s">
        <v>50</v>
      </c>
      <c r="B83" s="109">
        <f>B81-B82</f>
        <v>99.4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13" customFormat="1" ht="27" customHeight="1" x14ac:dyDescent="0.4">
      <c r="A84" s="105" t="s">
        <v>51</v>
      </c>
      <c r="B84" s="275">
        <v>572.66</v>
      </c>
      <c r="C84" s="306" t="s">
        <v>110</v>
      </c>
      <c r="D84" s="307"/>
      <c r="E84" s="307"/>
      <c r="F84" s="307"/>
      <c r="G84" s="307"/>
      <c r="H84" s="308"/>
      <c r="I84" s="108"/>
      <c r="J84" s="108"/>
      <c r="K84" s="108"/>
      <c r="L84" s="108"/>
    </row>
    <row r="85" spans="1:12" s="13" customFormat="1" ht="27" customHeight="1" x14ac:dyDescent="0.4">
      <c r="A85" s="105" t="s">
        <v>53</v>
      </c>
      <c r="B85" s="275">
        <v>670.76</v>
      </c>
      <c r="C85" s="306" t="s">
        <v>111</v>
      </c>
      <c r="D85" s="307"/>
      <c r="E85" s="307"/>
      <c r="F85" s="307"/>
      <c r="G85" s="307"/>
      <c r="H85" s="308"/>
      <c r="I85" s="108"/>
      <c r="J85" s="108"/>
      <c r="K85" s="108"/>
      <c r="L85" s="108"/>
    </row>
    <row r="86" spans="1:12" s="13" customFormat="1" ht="18.75" x14ac:dyDescent="0.3">
      <c r="A86" s="105"/>
      <c r="B86" s="114"/>
      <c r="C86" s="115"/>
      <c r="D86" s="115"/>
      <c r="E86" s="115"/>
      <c r="F86" s="115"/>
      <c r="G86" s="115"/>
      <c r="H86" s="115"/>
      <c r="I86" s="108"/>
      <c r="J86" s="108"/>
      <c r="K86" s="108"/>
      <c r="L86" s="108"/>
    </row>
    <row r="87" spans="1:12" s="13" customFormat="1" ht="18.75" x14ac:dyDescent="0.3">
      <c r="A87" s="105" t="s">
        <v>55</v>
      </c>
      <c r="B87" s="116">
        <f>B84/B85</f>
        <v>0.85374798735762414</v>
      </c>
      <c r="C87" s="96" t="s">
        <v>56</v>
      </c>
      <c r="D87" s="96"/>
      <c r="E87" s="96"/>
      <c r="F87" s="96"/>
      <c r="G87" s="96"/>
      <c r="I87" s="108"/>
      <c r="J87" s="108"/>
      <c r="K87" s="108"/>
      <c r="L87" s="108"/>
    </row>
    <row r="88" spans="1:12" ht="19.5" customHeight="1" x14ac:dyDescent="0.3">
      <c r="A88" s="103"/>
      <c r="B88" s="103"/>
    </row>
    <row r="89" spans="1:12" ht="27" customHeight="1" x14ac:dyDescent="0.4">
      <c r="A89" s="117" t="s">
        <v>57</v>
      </c>
      <c r="B89" s="118">
        <v>50</v>
      </c>
      <c r="D89" s="203" t="s">
        <v>58</v>
      </c>
      <c r="E89" s="204"/>
      <c r="F89" s="309" t="s">
        <v>59</v>
      </c>
      <c r="G89" s="310"/>
    </row>
    <row r="90" spans="1:12" ht="27" customHeight="1" x14ac:dyDescent="0.4">
      <c r="A90" s="119" t="s">
        <v>60</v>
      </c>
      <c r="B90" s="120">
        <v>2</v>
      </c>
      <c r="C90" s="205" t="s">
        <v>61</v>
      </c>
      <c r="D90" s="122" t="s">
        <v>62</v>
      </c>
      <c r="E90" s="123" t="s">
        <v>63</v>
      </c>
      <c r="F90" s="122" t="s">
        <v>62</v>
      </c>
      <c r="G90" s="206" t="s">
        <v>63</v>
      </c>
      <c r="I90" s="125" t="s">
        <v>64</v>
      </c>
    </row>
    <row r="91" spans="1:12" ht="26.25" customHeight="1" x14ac:dyDescent="0.4">
      <c r="A91" s="119" t="s">
        <v>65</v>
      </c>
      <c r="B91" s="120">
        <v>50</v>
      </c>
      <c r="C91" s="207">
        <v>1</v>
      </c>
      <c r="D91" s="336">
        <v>0.56100000000000005</v>
      </c>
      <c r="E91" s="127">
        <f>IF(ISBLANK(D91),"-",$D$101/$D$98*D91)</f>
        <v>0.48070752463671723</v>
      </c>
      <c r="F91" s="337">
        <v>0.47899999999999998</v>
      </c>
      <c r="G91" s="128">
        <f>IF(ISBLANK(F91),"-",$D$101/$F$98*F91)</f>
        <v>0.48342081902807493</v>
      </c>
      <c r="I91" s="129"/>
    </row>
    <row r="92" spans="1:12" ht="26.25" customHeight="1" x14ac:dyDescent="0.4">
      <c r="A92" s="119" t="s">
        <v>66</v>
      </c>
      <c r="B92" s="120">
        <v>1</v>
      </c>
      <c r="C92" s="191">
        <v>2</v>
      </c>
      <c r="D92" s="131">
        <v>0.56299999999999994</v>
      </c>
      <c r="E92" s="132">
        <f>IF(ISBLANK(D92),"-",$D$101/$D$98*D92)</f>
        <v>0.48242127695271253</v>
      </c>
      <c r="F92" s="338">
        <v>0.48</v>
      </c>
      <c r="G92" s="133">
        <f>IF(ISBLANK(F92),"-",$D$101/$F$98*F92)</f>
        <v>0.48443004829535691</v>
      </c>
      <c r="I92" s="311">
        <f>ABS((F96/D96*D95)-F95)/D95</f>
        <v>4.4592672641338713E-3</v>
      </c>
    </row>
    <row r="93" spans="1:12" ht="26.25" customHeight="1" x14ac:dyDescent="0.4">
      <c r="A93" s="119" t="s">
        <v>67</v>
      </c>
      <c r="B93" s="120">
        <v>1</v>
      </c>
      <c r="C93" s="191">
        <v>3</v>
      </c>
      <c r="D93" s="131">
        <v>0.56200000000000006</v>
      </c>
      <c r="E93" s="132">
        <f>IF(ISBLANK(D93),"-",$D$101/$D$98*D93)</f>
        <v>0.48156440079471496</v>
      </c>
      <c r="F93" s="338">
        <v>0.48</v>
      </c>
      <c r="G93" s="133">
        <f>IF(ISBLANK(F93),"-",$D$101/$F$98*F93)</f>
        <v>0.48443004829535691</v>
      </c>
      <c r="I93" s="311"/>
    </row>
    <row r="94" spans="1:12" ht="27" customHeight="1" x14ac:dyDescent="0.4">
      <c r="A94" s="119" t="s">
        <v>68</v>
      </c>
      <c r="B94" s="120">
        <v>1</v>
      </c>
      <c r="C94" s="208">
        <v>4</v>
      </c>
      <c r="D94" s="276"/>
      <c r="E94" s="137" t="str">
        <f>IF(ISBLANK(D94),"-",$D$101/$D$98*D94)</f>
        <v>-</v>
      </c>
      <c r="F94" s="277"/>
      <c r="G94" s="138" t="str">
        <f>IF(ISBLANK(F94),"-",$D$101/$F$98*F94)</f>
        <v>-</v>
      </c>
      <c r="I94" s="139"/>
    </row>
    <row r="95" spans="1:12" ht="27" customHeight="1" x14ac:dyDescent="0.4">
      <c r="A95" s="119" t="s">
        <v>69</v>
      </c>
      <c r="B95" s="120">
        <v>1</v>
      </c>
      <c r="C95" s="209" t="s">
        <v>70</v>
      </c>
      <c r="D95" s="210">
        <f>AVERAGE(D91:D94)</f>
        <v>0.56200000000000006</v>
      </c>
      <c r="E95" s="142">
        <f>AVERAGE(E91:E94)</f>
        <v>0.48156440079471485</v>
      </c>
      <c r="F95" s="211">
        <f>AVERAGE(F91:F94)</f>
        <v>0.47966666666666669</v>
      </c>
      <c r="G95" s="212">
        <f>AVERAGE(G91:G94)</f>
        <v>0.48409363853959625</v>
      </c>
    </row>
    <row r="96" spans="1:12" ht="26.25" customHeight="1" x14ac:dyDescent="0.4">
      <c r="A96" s="119" t="s">
        <v>71</v>
      </c>
      <c r="B96" s="106">
        <v>1</v>
      </c>
      <c r="C96" s="213" t="s">
        <v>112</v>
      </c>
      <c r="D96" s="214">
        <v>22.92</v>
      </c>
      <c r="E96" s="134"/>
      <c r="F96" s="146">
        <v>19.46</v>
      </c>
    </row>
    <row r="97" spans="1:10" ht="26.25" customHeight="1" x14ac:dyDescent="0.4">
      <c r="A97" s="119" t="s">
        <v>73</v>
      </c>
      <c r="B97" s="106">
        <v>1</v>
      </c>
      <c r="C97" s="215" t="s">
        <v>113</v>
      </c>
      <c r="D97" s="216">
        <f>D96*$B$87</f>
        <v>19.567903870236748</v>
      </c>
      <c r="E97" s="149"/>
      <c r="F97" s="148">
        <f>F96*$B$87</f>
        <v>16.613935833979365</v>
      </c>
    </row>
    <row r="98" spans="1:10" ht="19.5" customHeight="1" x14ac:dyDescent="0.3">
      <c r="A98" s="119" t="s">
        <v>75</v>
      </c>
      <c r="B98" s="217">
        <f>(B97/B96)*(B95/B94)*(B93/B92)*(B91/B90)*B89</f>
        <v>1250</v>
      </c>
      <c r="C98" s="215" t="s">
        <v>114</v>
      </c>
      <c r="D98" s="218">
        <f>D97*$B$83/100</f>
        <v>19.450496447015329</v>
      </c>
      <c r="E98" s="152"/>
      <c r="F98" s="151">
        <f>F97*$B$83/100</f>
        <v>16.514252218975489</v>
      </c>
    </row>
    <row r="99" spans="1:10" ht="19.5" customHeight="1" x14ac:dyDescent="0.3">
      <c r="A99" s="296" t="s">
        <v>77</v>
      </c>
      <c r="B99" s="312"/>
      <c r="C99" s="215" t="s">
        <v>115</v>
      </c>
      <c r="D99" s="219">
        <f>D98/$B$98</f>
        <v>1.5560397157612264E-2</v>
      </c>
      <c r="E99" s="152"/>
      <c r="F99" s="155">
        <f>F98/$B$98</f>
        <v>1.3211401775180391E-2</v>
      </c>
      <c r="G99" s="220"/>
      <c r="H99" s="144"/>
    </row>
    <row r="100" spans="1:10" ht="19.5" customHeight="1" x14ac:dyDescent="0.3">
      <c r="A100" s="298"/>
      <c r="B100" s="313"/>
      <c r="C100" s="215" t="s">
        <v>79</v>
      </c>
      <c r="D100" s="221">
        <f>$B$56/$B$116</f>
        <v>1.3333333333333334E-2</v>
      </c>
      <c r="F100" s="160"/>
      <c r="G100" s="222"/>
      <c r="H100" s="144"/>
    </row>
    <row r="101" spans="1:10" ht="18.75" x14ac:dyDescent="0.3">
      <c r="C101" s="215" t="s">
        <v>80</v>
      </c>
      <c r="D101" s="216">
        <f>D100*$B$98</f>
        <v>16.666666666666668</v>
      </c>
      <c r="F101" s="160"/>
      <c r="G101" s="220"/>
      <c r="H101" s="144"/>
    </row>
    <row r="102" spans="1:10" ht="19.5" customHeight="1" x14ac:dyDescent="0.3">
      <c r="C102" s="223" t="s">
        <v>81</v>
      </c>
      <c r="D102" s="224">
        <f>D101/B34</f>
        <v>19.521763932059748</v>
      </c>
      <c r="F102" s="164"/>
      <c r="G102" s="220"/>
      <c r="H102" s="144"/>
      <c r="J102" s="225"/>
    </row>
    <row r="103" spans="1:10" ht="18.75" x14ac:dyDescent="0.3">
      <c r="C103" s="226" t="s">
        <v>116</v>
      </c>
      <c r="D103" s="227">
        <f>AVERAGE(E91:E94,G91:G94)</f>
        <v>0.48282901966715547</v>
      </c>
      <c r="F103" s="164"/>
      <c r="G103" s="228"/>
      <c r="H103" s="144"/>
      <c r="J103" s="229"/>
    </row>
    <row r="104" spans="1:10" ht="18.75" x14ac:dyDescent="0.3">
      <c r="C104" s="194" t="s">
        <v>83</v>
      </c>
      <c r="D104" s="230">
        <f>STDEV(E91:E94,G91:G94)/D103</f>
        <v>3.1740401852301359E-3</v>
      </c>
      <c r="F104" s="164"/>
      <c r="G104" s="220"/>
      <c r="H104" s="144"/>
      <c r="J104" s="229"/>
    </row>
    <row r="105" spans="1:10" ht="19.5" customHeight="1" x14ac:dyDescent="0.3">
      <c r="C105" s="196" t="s">
        <v>19</v>
      </c>
      <c r="D105" s="231">
        <f>COUNT(E91:E94,G91:G94)</f>
        <v>6</v>
      </c>
      <c r="F105" s="164"/>
      <c r="G105" s="220"/>
      <c r="H105" s="144"/>
      <c r="J105" s="229"/>
    </row>
    <row r="106" spans="1:10" ht="19.5" customHeight="1" x14ac:dyDescent="0.3">
      <c r="A106" s="168"/>
      <c r="B106" s="168"/>
      <c r="C106" s="168"/>
      <c r="D106" s="168"/>
      <c r="E106" s="168"/>
    </row>
    <row r="107" spans="1:10" ht="26.25" customHeight="1" x14ac:dyDescent="0.4">
      <c r="A107" s="117" t="s">
        <v>117</v>
      </c>
      <c r="B107" s="118">
        <v>900</v>
      </c>
      <c r="C107" s="232" t="s">
        <v>118</v>
      </c>
      <c r="D107" s="233" t="s">
        <v>62</v>
      </c>
      <c r="E107" s="234" t="s">
        <v>119</v>
      </c>
      <c r="F107" s="235" t="s">
        <v>120</v>
      </c>
    </row>
    <row r="108" spans="1:10" ht="26.25" customHeight="1" x14ac:dyDescent="0.4">
      <c r="A108" s="119" t="s">
        <v>121</v>
      </c>
      <c r="B108" s="120">
        <v>2</v>
      </c>
      <c r="C108" s="236">
        <v>1</v>
      </c>
      <c r="D108" s="339">
        <v>0.496</v>
      </c>
      <c r="E108" s="270">
        <f t="shared" ref="E108:E113" si="1">IF(ISBLANK(D108),"-",D108/$D$103*$D$100*$B$116)</f>
        <v>308.18363010279961</v>
      </c>
      <c r="F108" s="237">
        <f>IF(ISBLANK(D108), "-", E108/$B$56)</f>
        <v>1.027278767009332</v>
      </c>
    </row>
    <row r="109" spans="1:10" ht="26.25" customHeight="1" x14ac:dyDescent="0.4">
      <c r="A109" s="119" t="s">
        <v>94</v>
      </c>
      <c r="B109" s="120">
        <v>50</v>
      </c>
      <c r="C109" s="236">
        <v>2</v>
      </c>
      <c r="D109" s="339">
        <v>0.47499999999999998</v>
      </c>
      <c r="E109" s="271">
        <f t="shared" si="1"/>
        <v>295.13553286054395</v>
      </c>
      <c r="F109" s="238">
        <f t="shared" ref="F109:F113" si="2">IF(ISBLANK(D109), "-", E109/$B$56)</f>
        <v>0.98378510953514653</v>
      </c>
    </row>
    <row r="110" spans="1:10" ht="26.25" customHeight="1" x14ac:dyDescent="0.4">
      <c r="A110" s="119" t="s">
        <v>95</v>
      </c>
      <c r="B110" s="120">
        <v>1</v>
      </c>
      <c r="C110" s="236">
        <v>3</v>
      </c>
      <c r="D110" s="339">
        <v>0.49199999999999999</v>
      </c>
      <c r="E110" s="271">
        <f t="shared" si="1"/>
        <v>305.6982782471319</v>
      </c>
      <c r="F110" s="238">
        <f>IF(ISBLANK(D110), "-", E110/$B$56)</f>
        <v>1.018994260823773</v>
      </c>
    </row>
    <row r="111" spans="1:10" ht="26.25" customHeight="1" x14ac:dyDescent="0.4">
      <c r="A111" s="119" t="s">
        <v>96</v>
      </c>
      <c r="B111" s="120">
        <v>1</v>
      </c>
      <c r="C111" s="236">
        <v>4</v>
      </c>
      <c r="D111" s="339">
        <v>0.47299999999999998</v>
      </c>
      <c r="E111" s="271">
        <f t="shared" si="1"/>
        <v>293.89285693271012</v>
      </c>
      <c r="F111" s="238">
        <f t="shared" si="2"/>
        <v>0.97964285644236704</v>
      </c>
    </row>
    <row r="112" spans="1:10" ht="26.25" customHeight="1" x14ac:dyDescent="0.4">
      <c r="A112" s="119" t="s">
        <v>97</v>
      </c>
      <c r="B112" s="120">
        <v>1</v>
      </c>
      <c r="C112" s="236">
        <v>5</v>
      </c>
      <c r="D112" s="339">
        <v>0.503</v>
      </c>
      <c r="E112" s="271">
        <f t="shared" si="1"/>
        <v>312.53299585021819</v>
      </c>
      <c r="F112" s="238">
        <f>IF(ISBLANK(D112), "-", E112/$B$56)</f>
        <v>1.0417766528340606</v>
      </c>
    </row>
    <row r="113" spans="1:10" ht="26.25" customHeight="1" x14ac:dyDescent="0.4">
      <c r="A113" s="119" t="s">
        <v>99</v>
      </c>
      <c r="B113" s="120">
        <v>1</v>
      </c>
      <c r="C113" s="239">
        <v>6</v>
      </c>
      <c r="D113" s="340">
        <v>0.48399999999999999</v>
      </c>
      <c r="E113" s="272">
        <f t="shared" si="1"/>
        <v>300.72757453579641</v>
      </c>
      <c r="F113" s="240">
        <f t="shared" si="2"/>
        <v>1.0024252484526548</v>
      </c>
    </row>
    <row r="114" spans="1:10" ht="26.25" customHeight="1" x14ac:dyDescent="0.4">
      <c r="A114" s="119" t="s">
        <v>100</v>
      </c>
      <c r="B114" s="120">
        <v>1</v>
      </c>
      <c r="C114" s="236"/>
      <c r="D114" s="191"/>
      <c r="E114" s="95"/>
      <c r="F114" s="241"/>
    </row>
    <row r="115" spans="1:10" ht="26.25" customHeight="1" x14ac:dyDescent="0.4">
      <c r="A115" s="119" t="s">
        <v>101</v>
      </c>
      <c r="B115" s="120">
        <v>1</v>
      </c>
      <c r="C115" s="236"/>
      <c r="D115" s="242"/>
      <c r="E115" s="243" t="s">
        <v>70</v>
      </c>
      <c r="F115" s="244">
        <f>AVERAGE(F108:F113)</f>
        <v>1.0089838158495557</v>
      </c>
    </row>
    <row r="116" spans="1:10" ht="27" customHeight="1" x14ac:dyDescent="0.4">
      <c r="A116" s="119" t="s">
        <v>102</v>
      </c>
      <c r="B116" s="150">
        <f>(B115/B114)*(B113/B112)*(B111/B110)*(B109/B108)*B107</f>
        <v>22500</v>
      </c>
      <c r="C116" s="245"/>
      <c r="D116" s="246"/>
      <c r="E116" s="209" t="s">
        <v>83</v>
      </c>
      <c r="F116" s="247">
        <f>STDEV(F108:F113)/F115</f>
        <v>2.4474922507724865E-2</v>
      </c>
      <c r="I116" s="95"/>
    </row>
    <row r="117" spans="1:10" ht="27" customHeight="1" x14ac:dyDescent="0.4">
      <c r="A117" s="296" t="s">
        <v>77</v>
      </c>
      <c r="B117" s="297"/>
      <c r="C117" s="248"/>
      <c r="D117" s="249"/>
      <c r="E117" s="250" t="s">
        <v>19</v>
      </c>
      <c r="F117" s="251">
        <f>COUNT(F108:F113)</f>
        <v>6</v>
      </c>
      <c r="I117" s="95"/>
      <c r="J117" s="229"/>
    </row>
    <row r="118" spans="1:10" ht="19.5" customHeight="1" x14ac:dyDescent="0.3">
      <c r="A118" s="298"/>
      <c r="B118" s="299"/>
      <c r="C118" s="95"/>
      <c r="D118" s="95"/>
      <c r="E118" s="95"/>
      <c r="F118" s="191"/>
      <c r="G118" s="95"/>
      <c r="H118" s="95"/>
      <c r="I118" s="95"/>
    </row>
    <row r="119" spans="1:10" ht="18.75" x14ac:dyDescent="0.3">
      <c r="A119" s="260"/>
      <c r="B119" s="115"/>
      <c r="C119" s="95"/>
      <c r="D119" s="95"/>
      <c r="E119" s="95"/>
      <c r="F119" s="191"/>
      <c r="G119" s="95"/>
      <c r="H119" s="95"/>
      <c r="I119" s="95"/>
    </row>
    <row r="120" spans="1:10" ht="26.25" customHeight="1" x14ac:dyDescent="0.4">
      <c r="A120" s="104" t="s">
        <v>105</v>
      </c>
      <c r="B120" s="198" t="s">
        <v>122</v>
      </c>
      <c r="C120" s="300" t="str">
        <f>B20</f>
        <v xml:space="preserve">Abacavir Sulfate </v>
      </c>
      <c r="D120" s="300"/>
      <c r="E120" s="199" t="s">
        <v>123</v>
      </c>
      <c r="F120" s="199"/>
      <c r="G120" s="200">
        <f>F115</f>
        <v>1.0089838158495557</v>
      </c>
      <c r="H120" s="95"/>
      <c r="I120" s="95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01" t="s">
        <v>25</v>
      </c>
      <c r="C122" s="301"/>
      <c r="E122" s="283" t="s">
        <v>26</v>
      </c>
      <c r="F122" s="254"/>
      <c r="G122" s="302" t="s">
        <v>27</v>
      </c>
      <c r="H122" s="302"/>
    </row>
    <row r="123" spans="1:10" ht="47.25" customHeight="1" x14ac:dyDescent="0.3">
      <c r="A123" s="255" t="s">
        <v>28</v>
      </c>
      <c r="B123" s="256"/>
      <c r="C123" s="256" t="s">
        <v>128</v>
      </c>
      <c r="E123" s="256" t="s">
        <v>127</v>
      </c>
      <c r="F123" s="95"/>
      <c r="G123" s="257"/>
      <c r="H123" s="257"/>
    </row>
    <row r="124" spans="1:10" ht="59.25" customHeight="1" x14ac:dyDescent="0.3">
      <c r="A124" s="255" t="s">
        <v>29</v>
      </c>
      <c r="B124" s="258"/>
      <c r="C124" s="258"/>
      <c r="E124" s="258"/>
      <c r="F124" s="95"/>
      <c r="G124" s="259"/>
      <c r="H124" s="259"/>
    </row>
    <row r="125" spans="1:10" ht="18.75" x14ac:dyDescent="0.3">
      <c r="A125" s="190"/>
      <c r="B125" s="190"/>
      <c r="C125" s="191"/>
      <c r="D125" s="191"/>
      <c r="E125" s="191"/>
      <c r="F125" s="195"/>
      <c r="G125" s="191"/>
      <c r="H125" s="191"/>
      <c r="I125" s="95"/>
    </row>
    <row r="126" spans="1:10" ht="18.75" x14ac:dyDescent="0.3">
      <c r="A126" s="190"/>
      <c r="B126" s="190"/>
      <c r="C126" s="191"/>
      <c r="D126" s="191"/>
      <c r="E126" s="191"/>
      <c r="F126" s="195"/>
      <c r="G126" s="191"/>
      <c r="H126" s="191"/>
      <c r="I126" s="95"/>
    </row>
    <row r="127" spans="1:10" ht="18.75" x14ac:dyDescent="0.3">
      <c r="A127" s="190"/>
      <c r="B127" s="190"/>
      <c r="C127" s="191"/>
      <c r="D127" s="191"/>
      <c r="E127" s="191"/>
      <c r="F127" s="195"/>
      <c r="G127" s="191"/>
      <c r="H127" s="191"/>
      <c r="I127" s="95"/>
    </row>
    <row r="128" spans="1:10" ht="18.75" x14ac:dyDescent="0.3">
      <c r="A128" s="190"/>
      <c r="B128" s="190"/>
      <c r="C128" s="191"/>
      <c r="D128" s="191"/>
      <c r="E128" s="191"/>
      <c r="F128" s="195"/>
      <c r="G128" s="191"/>
      <c r="H128" s="191"/>
      <c r="I128" s="95"/>
    </row>
    <row r="129" spans="1:9" ht="18.75" x14ac:dyDescent="0.3">
      <c r="A129" s="190"/>
      <c r="B129" s="190"/>
      <c r="C129" s="191"/>
      <c r="D129" s="191"/>
      <c r="E129" s="191"/>
      <c r="F129" s="195"/>
      <c r="G129" s="191"/>
      <c r="H129" s="191"/>
      <c r="I129" s="95"/>
    </row>
    <row r="130" spans="1:9" ht="18.75" x14ac:dyDescent="0.3">
      <c r="A130" s="190"/>
      <c r="B130" s="190"/>
      <c r="C130" s="191"/>
      <c r="D130" s="191"/>
      <c r="E130" s="191"/>
      <c r="F130" s="195"/>
      <c r="G130" s="191"/>
      <c r="H130" s="191"/>
      <c r="I130" s="95"/>
    </row>
    <row r="131" spans="1:9" ht="18.75" x14ac:dyDescent="0.3">
      <c r="A131" s="190"/>
      <c r="B131" s="190"/>
      <c r="C131" s="191"/>
      <c r="D131" s="191"/>
      <c r="E131" s="191"/>
      <c r="F131" s="195"/>
      <c r="G131" s="191"/>
      <c r="H131" s="191"/>
      <c r="I131" s="95"/>
    </row>
    <row r="132" spans="1:9" ht="18.75" x14ac:dyDescent="0.3">
      <c r="A132" s="190"/>
      <c r="B132" s="190"/>
      <c r="C132" s="191"/>
      <c r="D132" s="191"/>
      <c r="E132" s="191"/>
      <c r="F132" s="195"/>
      <c r="G132" s="191"/>
      <c r="H132" s="191"/>
      <c r="I132" s="95"/>
    </row>
    <row r="133" spans="1:9" ht="18.75" x14ac:dyDescent="0.3">
      <c r="A133" s="190"/>
      <c r="B133" s="190"/>
      <c r="C133" s="191"/>
      <c r="D133" s="191"/>
      <c r="E133" s="191"/>
      <c r="F133" s="195"/>
      <c r="G133" s="191"/>
      <c r="H133" s="191"/>
      <c r="I133" s="9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Abacavir</vt:lpstr>
      <vt:lpstr>Abacavir!Print_Area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2015-10-06T07:39:13Z</cp:lastPrinted>
  <dcterms:created xsi:type="dcterms:W3CDTF">2005-07-05T10:19:27Z</dcterms:created>
  <dcterms:modified xsi:type="dcterms:W3CDTF">2015-10-06T07:40:32Z</dcterms:modified>
  <cp:category/>
</cp:coreProperties>
</file>