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SST" sheetId="1" r:id="rId1"/>
    <sheet name="Uniformity" sheetId="2" r:id="rId2"/>
    <sheet name="lamivudine" sheetId="4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G42" i="4" l="1"/>
  <c r="E42" i="4"/>
  <c r="C120" i="4" l="1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E41" i="4" s="1"/>
  <c r="F42" i="4"/>
  <c r="D42" i="4"/>
  <c r="B34" i="4"/>
  <c r="D44" i="4" s="1"/>
  <c r="B30" i="4"/>
  <c r="D49" i="2"/>
  <c r="C46" i="2"/>
  <c r="C45" i="2"/>
  <c r="D40" i="2"/>
  <c r="D36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97" i="4" l="1"/>
  <c r="D101" i="4"/>
  <c r="D102" i="4" s="1"/>
  <c r="F98" i="4"/>
  <c r="F99" i="4" s="1"/>
  <c r="I92" i="4"/>
  <c r="I39" i="4"/>
  <c r="F44" i="4"/>
  <c r="F45" i="4" s="1"/>
  <c r="D98" i="4"/>
  <c r="D99" i="4" s="1"/>
  <c r="D45" i="4"/>
  <c r="D46" i="4" s="1"/>
  <c r="D49" i="4"/>
  <c r="G41" i="4"/>
  <c r="G93" i="4"/>
  <c r="E94" i="4"/>
  <c r="G91" i="4"/>
  <c r="G94" i="4"/>
  <c r="D26" i="2"/>
  <c r="D30" i="2"/>
  <c r="D34" i="2"/>
  <c r="D38" i="2"/>
  <c r="D42" i="2"/>
  <c r="B49" i="2"/>
  <c r="D50" i="2"/>
  <c r="B57" i="4"/>
  <c r="B69" i="4" s="1"/>
  <c r="D35" i="2"/>
  <c r="D39" i="2"/>
  <c r="D43" i="2"/>
  <c r="C49" i="2"/>
  <c r="D33" i="2"/>
  <c r="D37" i="2"/>
  <c r="D41" i="2"/>
  <c r="C50" i="2"/>
  <c r="G92" i="4" l="1"/>
  <c r="G95" i="4" s="1"/>
  <c r="E93" i="4"/>
  <c r="E92" i="4"/>
  <c r="E38" i="4"/>
  <c r="G40" i="4"/>
  <c r="F46" i="4"/>
  <c r="E40" i="4"/>
  <c r="G39" i="4"/>
  <c r="G38" i="4"/>
  <c r="E39" i="4"/>
  <c r="E91" i="4"/>
  <c r="E95" i="4" l="1"/>
  <c r="D105" i="4"/>
  <c r="D103" i="4"/>
  <c r="E108" i="4" s="1"/>
  <c r="F108" i="4" s="1"/>
  <c r="D50" i="4"/>
  <c r="G67" i="4" s="1"/>
  <c r="H67" i="4" s="1"/>
  <c r="D52" i="4"/>
  <c r="G71" i="4"/>
  <c r="H71" i="4" s="1"/>
  <c r="E109" i="4" l="1"/>
  <c r="F109" i="4" s="1"/>
  <c r="F115" i="4" s="1"/>
  <c r="E113" i="4"/>
  <c r="E110" i="4"/>
  <c r="F110" i="4" s="1"/>
  <c r="E111" i="4"/>
  <c r="F111" i="4" s="1"/>
  <c r="E112" i="4"/>
  <c r="F112" i="4" s="1"/>
  <c r="D104" i="4"/>
  <c r="G65" i="4"/>
  <c r="H65" i="4" s="1"/>
  <c r="G66" i="4"/>
  <c r="H66" i="4" s="1"/>
  <c r="D51" i="4"/>
  <c r="G68" i="4"/>
  <c r="H68" i="4" s="1"/>
  <c r="G62" i="4"/>
  <c r="H62" i="4" s="1"/>
  <c r="G70" i="4"/>
  <c r="H70" i="4" s="1"/>
  <c r="G63" i="4"/>
  <c r="H63" i="4" s="1"/>
  <c r="G64" i="4"/>
  <c r="H64" i="4" s="1"/>
  <c r="G61" i="4"/>
  <c r="H61" i="4" s="1"/>
  <c r="G60" i="4"/>
  <c r="H60" i="4" s="1"/>
  <c r="G69" i="4"/>
  <c r="H69" i="4" s="1"/>
  <c r="G120" i="4" l="1"/>
  <c r="F117" i="4"/>
  <c r="H72" i="4"/>
  <c r="G76" i="4" s="1"/>
  <c r="H74" i="4"/>
  <c r="F116" i="4"/>
  <c r="H73" i="4" l="1"/>
</calcChain>
</file>

<file path=xl/sharedStrings.xml><?xml version="1.0" encoding="utf-8"?>
<sst xmlns="http://schemas.openxmlformats.org/spreadsheetml/2006/main" count="233" uniqueCount="127">
  <si>
    <t>HPLC System Suitability Report</t>
  </si>
  <si>
    <t>Analysis Data</t>
  </si>
  <si>
    <t>Assay</t>
  </si>
  <si>
    <t>Sample(s)</t>
  </si>
  <si>
    <t>Reference Substance:</t>
  </si>
  <si>
    <t>Lamivudeine Tablets</t>
  </si>
  <si>
    <t>% age Purity:</t>
  </si>
  <si>
    <t>NDQD201508099</t>
  </si>
  <si>
    <t>Weight (mg):</t>
  </si>
  <si>
    <t>Lamivudine</t>
  </si>
  <si>
    <t>Standard Conc (mg/mL):</t>
  </si>
  <si>
    <t>Each film coated tablet contains 150 mg of Lamivudine USP</t>
  </si>
  <si>
    <t>2015-08-11 14:23:38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</si>
  <si>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</si>
  <si>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</si>
  <si>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</si>
  <si>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</si>
  <si>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</si>
  <si>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</si>
  <si>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</si>
  <si>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</si>
  <si>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</si>
  <si>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</si>
  <si>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</si>
  <si>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</si>
  <si>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</si>
  <si>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</si>
  <si>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</si>
  <si>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</si>
  <si>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</si>
  <si>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</si>
  <si>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</si>
  <si>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</si>
  <si>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</si>
  <si>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</si>
  <si>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</si>
  <si>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</si>
  <si>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</si>
  <si>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</si>
  <si>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</si>
  <si>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</si>
  <si>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</si>
  <si>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</si>
  <si>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</si>
  <si>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</si>
  <si>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</si>
  <si>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</si>
  <si>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</si>
  <si>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 xml:space="preserve">Label Claim: </t>
  </si>
  <si>
    <t>RSD:</t>
  </si>
  <si>
    <t>Each Tablet contains</t>
  </si>
  <si>
    <t>Average Tablet Content Weight (mg):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</si>
  <si>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</si>
  <si>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</si>
  <si>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</si>
  <si>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</si>
  <si>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</si>
  <si>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</si>
  <si>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</si>
  <si>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</si>
  <si>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</si>
  <si>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</si>
  <si>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</si>
  <si>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</si>
  <si>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</si>
  <si>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</si>
  <si>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</si>
  <si>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</si>
  <si>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</si>
  <si>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</si>
  <si>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</si>
  <si>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</si>
  <si>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</si>
  <si>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</si>
  <si>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</si>
  <si>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</si>
  <si>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</si>
  <si>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</si>
  <si>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</si>
  <si>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</si>
  <si>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</si>
  <si>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</si>
  <si>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</si>
  <si>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</si>
  <si>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</si>
  <si>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</si>
  <si>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</si>
  <si>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</si>
  <si>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Determination of Content of Active Ingredient in the Sample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</si>
  <si>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</si>
  <si>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</si>
  <si>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</si>
  <si>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</si>
  <si>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</si>
  <si>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</si>
  <si>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</si>
  <si>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</si>
  <si>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</si>
  <si>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</si>
  <si>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</si>
  <si>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</si>
  <si>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</si>
  <si>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</si>
  <si>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</si>
  <si>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</si>
  <si>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</si>
  <si>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</si>
  <si>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</si>
  <si>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</si>
  <si>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</si>
  <si>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</si>
  <si>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</si>
  <si>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</si>
  <si>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</si>
  <si>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</si>
  <si>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</si>
  <si>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</si>
  <si>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</si>
  <si>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</si>
  <si>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</si>
  <si>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</si>
  <si>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</si>
  <si>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</si>
  <si>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</si>
  <si>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</si>
  <si>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lamivudine</t>
  </si>
  <si>
    <t>WRS/L3/6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</si>
</sst>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dd\-mmm\-yy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i/>
      <sz val="14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5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9" fontId="13" fillId="3" borderId="0" xfId="0" applyNumberFormat="1" applyFont="1" applyFill="1" applyAlignment="1" applyProtection="1">
      <alignment horizontal="center"/>
      <protection locked="0"/>
    </xf>
    <xf numFmtId="168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5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8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9" fillId="2" borderId="0" xfId="0" applyFont="1" applyFill="1"/>
    <xf numFmtId="0" fontId="20" fillId="2" borderId="0" xfId="0" applyFont="1" applyFill="1"/>
    <xf numFmtId="2" fontId="15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21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38" xfId="0" applyFont="1" applyFill="1" applyBorder="1" applyAlignment="1">
      <alignment horizontal="right"/>
    </xf>
    <xf numFmtId="0" fontId="15" fillId="3" borderId="23" xfId="0" applyFont="1" applyFill="1" applyBorder="1" applyAlignment="1" applyProtection="1">
      <alignment horizontal="center"/>
      <protection locked="0"/>
    </xf>
    <xf numFmtId="0" fontId="11" fillId="2" borderId="21" xfId="0" applyFont="1" applyFill="1" applyBorder="1" applyAlignment="1">
      <alignment horizontal="right"/>
    </xf>
    <xf numFmtId="0" fontId="15" fillId="3" borderId="25" xfId="0" applyFont="1" applyFill="1" applyBorder="1" applyAlignment="1" applyProtection="1">
      <alignment horizontal="center"/>
      <protection locked="0"/>
    </xf>
    <xf numFmtId="0" fontId="12" fillId="2" borderId="23" xfId="0" applyFont="1" applyFill="1" applyBorder="1" applyAlignment="1">
      <alignment horizontal="center"/>
    </xf>
    <xf numFmtId="0" fontId="12" fillId="2" borderId="42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45" xfId="0" applyFont="1" applyFill="1" applyBorder="1" applyAlignment="1">
      <alignment horizontal="center"/>
    </xf>
    <xf numFmtId="0" fontId="15" fillId="3" borderId="24" xfId="0" applyFont="1" applyFill="1" applyBorder="1" applyAlignment="1" applyProtection="1">
      <alignment horizontal="center"/>
      <protection locked="0"/>
    </xf>
    <xf numFmtId="171" fontId="11" fillId="2" borderId="29" xfId="0" applyNumberFormat="1" applyFont="1" applyFill="1" applyBorder="1" applyAlignment="1">
      <alignment horizontal="center"/>
    </xf>
    <xf numFmtId="171" fontId="11" fillId="2" borderId="34" xfId="0" applyNumberFormat="1" applyFont="1" applyFill="1" applyBorder="1" applyAlignment="1">
      <alignment horizontal="center"/>
    </xf>
    <xf numFmtId="0" fontId="21" fillId="2" borderId="13" xfId="0" applyFont="1" applyFill="1" applyBorder="1"/>
    <xf numFmtId="0" fontId="11" fillId="2" borderId="25" xfId="0" applyFont="1" applyFill="1" applyBorder="1" applyAlignment="1">
      <alignment horizontal="center"/>
    </xf>
    <xf numFmtId="0" fontId="15" fillId="3" borderId="21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5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46" xfId="0" applyFont="1" applyFill="1" applyBorder="1" applyAlignment="1">
      <alignment horizontal="center"/>
    </xf>
    <xf numFmtId="0" fontId="15" fillId="3" borderId="47" xfId="0" applyFont="1" applyFill="1" applyBorder="1" applyAlignment="1" applyProtection="1">
      <alignment horizontal="center"/>
      <protection locked="0"/>
    </xf>
    <xf numFmtId="171" fontId="11" fillId="2" borderId="48" xfId="0" applyNumberFormat="1" applyFont="1" applyFill="1" applyBorder="1" applyAlignment="1">
      <alignment horizontal="center"/>
    </xf>
    <xf numFmtId="171" fontId="11" fillId="2" borderId="49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5" xfId="0" applyFont="1" applyFill="1" applyBorder="1" applyAlignment="1">
      <alignment horizontal="right"/>
    </xf>
    <xf numFmtId="1" fontId="12" fillId="7" borderId="44" xfId="0" applyNumberFormat="1" applyFont="1" applyFill="1" applyBorder="1" applyAlignment="1">
      <alignment horizontal="center"/>
    </xf>
    <xf numFmtId="171" fontId="12" fillId="7" borderId="37" xfId="0" applyNumberFormat="1" applyFont="1" applyFill="1" applyBorder="1" applyAlignment="1">
      <alignment horizontal="center"/>
    </xf>
    <xf numFmtId="171" fontId="12" fillId="7" borderId="36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5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7" borderId="33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5" xfId="0" applyFont="1" applyFill="1" applyBorder="1" applyAlignment="1">
      <alignment horizontal="center"/>
    </xf>
    <xf numFmtId="2" fontId="11" fillId="6" borderId="33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7" borderId="33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7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166" fontId="15" fillId="3" borderId="33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4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7" borderId="15" xfId="0" applyNumberFormat="1" applyFont="1" applyFill="1" applyBorder="1" applyAlignment="1">
      <alignment horizontal="center"/>
    </xf>
    <xf numFmtId="171" fontId="12" fillId="6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7" borderId="33" xfId="0" applyNumberFormat="1" applyFont="1" applyFill="1" applyBorder="1" applyAlignment="1">
      <alignment horizontal="center"/>
    </xf>
    <xf numFmtId="0" fontId="11" fillId="2" borderId="22" xfId="0" applyFont="1" applyFill="1" applyBorder="1" applyAlignment="1">
      <alignment horizontal="right"/>
    </xf>
    <xf numFmtId="0" fontId="11" fillId="6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5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5" fillId="3" borderId="38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5" fillId="3" borderId="21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5" fillId="3" borderId="22" xfId="0" applyFont="1" applyFill="1" applyBorder="1" applyAlignment="1" applyProtection="1">
      <alignment horizontal="center"/>
      <protection locked="0"/>
    </xf>
    <xf numFmtId="10" fontId="11" fillId="2" borderId="23" xfId="0" applyNumberFormat="1" applyFont="1" applyFill="1" applyBorder="1" applyAlignment="1">
      <alignment horizontal="center" vertical="center"/>
    </xf>
    <xf numFmtId="10" fontId="11" fillId="2" borderId="25" xfId="0" applyNumberFormat="1" applyFont="1" applyFill="1" applyBorder="1" applyAlignment="1">
      <alignment horizontal="center" vertical="center"/>
    </xf>
    <xf numFmtId="10" fontId="11" fillId="2" borderId="26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/>
    </xf>
    <xf numFmtId="2" fontId="13" fillId="2" borderId="26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52" xfId="0" applyFont="1" applyFill="1" applyBorder="1" applyAlignment="1">
      <alignment horizontal="right"/>
    </xf>
    <xf numFmtId="10" fontId="15" fillId="6" borderId="46" xfId="0" applyNumberFormat="1" applyFont="1" applyFill="1" applyBorder="1" applyAlignment="1">
      <alignment horizontal="center"/>
    </xf>
    <xf numFmtId="0" fontId="11" fillId="2" borderId="33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5" fillId="6" borderId="53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5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5" fillId="3" borderId="0" xfId="0" applyFont="1" applyFill="1" applyAlignment="1" applyProtection="1">
      <alignment horizontal="center"/>
      <protection locked="0"/>
    </xf>
    <xf numFmtId="0" fontId="12" fillId="2" borderId="40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5" fillId="3" borderId="47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7" borderId="30" xfId="0" applyNumberFormat="1" applyFont="1" applyFill="1" applyBorder="1" applyAlignment="1">
      <alignment horizontal="center"/>
    </xf>
    <xf numFmtId="1" fontId="12" fillId="7" borderId="39" xfId="0" applyNumberFormat="1" applyFont="1" applyFill="1" applyBorder="1" applyAlignment="1">
      <alignment horizontal="center"/>
    </xf>
    <xf numFmtId="171" fontId="12" fillId="7" borderId="15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5" fillId="3" borderId="32" xfId="0" applyFont="1" applyFill="1" applyBorder="1" applyAlignment="1" applyProtection="1">
      <alignment horizontal="center"/>
      <protection locked="0"/>
    </xf>
    <xf numFmtId="0" fontId="11" fillId="2" borderId="42" xfId="0" applyFont="1" applyFill="1" applyBorder="1" applyAlignment="1">
      <alignment horizontal="right"/>
    </xf>
    <xf numFmtId="2" fontId="11" fillId="7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6" borderId="27" xfId="0" applyNumberFormat="1" applyFont="1" applyFill="1" applyBorder="1" applyAlignment="1">
      <alignment horizontal="center"/>
    </xf>
    <xf numFmtId="166" fontId="11" fillId="7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6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28" xfId="0" applyFont="1" applyFill="1" applyBorder="1" applyAlignment="1">
      <alignment horizontal="right"/>
    </xf>
    <xf numFmtId="2" fontId="11" fillId="6" borderId="34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6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7" borderId="33" xfId="0" applyNumberFormat="1" applyFont="1" applyFill="1" applyBorder="1" applyAlignment="1">
      <alignment horizontal="center"/>
    </xf>
    <xf numFmtId="0" fontId="12" fillId="6" borderId="1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56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 wrapText="1"/>
    </xf>
    <xf numFmtId="0" fontId="11" fillId="2" borderId="21" xfId="0" applyFont="1" applyFill="1" applyBorder="1" applyAlignment="1">
      <alignment horizontal="center"/>
    </xf>
    <xf numFmtId="1" fontId="15" fillId="3" borderId="31" xfId="0" applyNumberFormat="1" applyFont="1" applyFill="1" applyBorder="1" applyAlignment="1" applyProtection="1">
      <alignment horizontal="center"/>
      <protection locked="0"/>
    </xf>
    <xf numFmtId="10" fontId="11" fillId="2" borderId="34" xfId="0" applyNumberFormat="1" applyFont="1" applyFill="1" applyBorder="1" applyAlignment="1">
      <alignment horizontal="center"/>
    </xf>
    <xf numFmtId="10" fontId="11" fillId="2" borderId="35" xfId="0" applyNumberFormat="1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1" fontId="15" fillId="3" borderId="48" xfId="0" applyNumberFormat="1" applyFont="1" applyFill="1" applyBorder="1" applyAlignment="1" applyProtection="1">
      <alignment horizontal="center"/>
      <protection locked="0"/>
    </xf>
    <xf numFmtId="10" fontId="11" fillId="2" borderId="49" xfId="0" applyNumberFormat="1" applyFont="1" applyFill="1" applyBorder="1" applyAlignment="1">
      <alignment horizontal="center"/>
    </xf>
    <xf numFmtId="2" fontId="11" fillId="2" borderId="25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5" fillId="6" borderId="27" xfId="0" applyNumberFormat="1" applyFont="1" applyFill="1" applyBorder="1" applyAlignment="1">
      <alignment horizontal="center"/>
    </xf>
    <xf numFmtId="0" fontId="11" fillId="2" borderId="21" xfId="0" applyFont="1" applyFill="1" applyBorder="1"/>
    <xf numFmtId="0" fontId="11" fillId="2" borderId="6" xfId="0" applyFont="1" applyFill="1" applyBorder="1"/>
    <xf numFmtId="10" fontId="15" fillId="7" borderId="27" xfId="0" applyNumberFormat="1" applyFont="1" applyFill="1" applyBorder="1" applyAlignment="1">
      <alignment horizontal="center"/>
    </xf>
    <xf numFmtId="0" fontId="11" fillId="2" borderId="22" xfId="0" applyFont="1" applyFill="1" applyBorder="1"/>
    <xf numFmtId="0" fontId="11" fillId="2" borderId="5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right"/>
    </xf>
    <xf numFmtId="0" fontId="15" fillId="6" borderId="17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4" fillId="2" borderId="0" xfId="0" applyFont="1" applyFill="1" applyAlignment="1">
      <alignment horizontal="right" vertical="center" wrapText="1"/>
    </xf>
    <xf numFmtId="0" fontId="15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Protection="1">
      <protection locked="0"/>
    </xf>
    <xf numFmtId="166" fontId="11" fillId="2" borderId="38" xfId="0" applyNumberFormat="1" applyFont="1" applyFill="1" applyBorder="1" applyAlignment="1">
      <alignment horizontal="center"/>
    </xf>
    <xf numFmtId="166" fontId="11" fillId="2" borderId="21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66" fontId="11" fillId="2" borderId="29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48" xfId="0" applyNumberFormat="1" applyFont="1" applyFill="1" applyBorder="1" applyAlignment="1">
      <alignment horizontal="center"/>
    </xf>
    <xf numFmtId="0" fontId="15" fillId="3" borderId="24" xfId="0" applyFont="1" applyFill="1" applyBorder="1" applyAlignment="1" applyProtection="1">
      <alignment horizontal="center"/>
      <protection locked="0"/>
    </xf>
    <xf numFmtId="0" fontId="15" fillId="3" borderId="21" xfId="0" applyFont="1" applyFill="1" applyBorder="1" applyAlignment="1" applyProtection="1">
      <alignment horizontal="center"/>
      <protection locked="0"/>
    </xf>
    <xf numFmtId="0" fontId="15" fillId="3" borderId="47" xfId="0" applyFont="1" applyFill="1" applyBorder="1" applyAlignment="1" applyProtection="1">
      <alignment horizontal="center"/>
      <protection locked="0"/>
    </xf>
    <xf numFmtId="0" fontId="15" fillId="3" borderId="16" xfId="0" applyFont="1" applyFill="1" applyBorder="1" applyAlignment="1" applyProtection="1">
      <alignment horizontal="center"/>
      <protection locked="0"/>
    </xf>
    <xf numFmtId="10" fontId="15" fillId="7" borderId="59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4" fillId="2" borderId="38" xfId="0" applyFont="1" applyFill="1" applyBorder="1" applyAlignment="1">
      <alignment horizontal="left" vertical="center" wrapText="1"/>
    </xf>
    <xf numFmtId="0" fontId="14" fillId="2" borderId="23" xfId="0" applyFont="1" applyFill="1" applyBorder="1" applyAlignment="1">
      <alignment horizontal="left" vertical="center" wrapText="1"/>
    </xf>
    <xf numFmtId="0" fontId="14" fillId="2" borderId="22" xfId="0" applyFont="1" applyFill="1" applyBorder="1" applyAlignment="1">
      <alignment horizontal="left" vertical="center" wrapText="1"/>
    </xf>
    <xf numFmtId="0" fontId="14" fillId="2" borderId="26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justify" vertical="center" wrapText="1"/>
    </xf>
    <xf numFmtId="0" fontId="14" fillId="2" borderId="19" xfId="0" applyFont="1" applyFill="1" applyBorder="1" applyAlignment="1">
      <alignment horizontal="justify" vertical="center" wrapText="1"/>
    </xf>
    <xf numFmtId="0" fontId="14" fillId="2" borderId="20" xfId="0" applyFont="1" applyFill="1" applyBorder="1" applyAlignment="1">
      <alignment horizontal="justify" vertical="center" wrapText="1"/>
    </xf>
    <xf numFmtId="0" fontId="14" fillId="2" borderId="18" xfId="0" applyFont="1" applyFill="1" applyBorder="1" applyAlignment="1">
      <alignment horizontal="left" vertical="center" wrapText="1"/>
    </xf>
    <xf numFmtId="0" fontId="14" fillId="2" borderId="19" xfId="0" applyFont="1" applyFill="1" applyBorder="1" applyAlignment="1">
      <alignment horizontal="left" vertical="center" wrapText="1"/>
    </xf>
    <xf numFmtId="0" fontId="14" fillId="2" borderId="20" xfId="0" applyFont="1" applyFill="1" applyBorder="1" applyAlignment="1">
      <alignment horizontal="left" vertical="center" wrapText="1"/>
    </xf>
    <xf numFmtId="0" fontId="12" fillId="2" borderId="40" xfId="0" applyFont="1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10" fontId="18" fillId="2" borderId="14" xfId="0" applyNumberFormat="1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2" fontId="15" fillId="3" borderId="13" xfId="0" applyNumberFormat="1" applyFont="1" applyFill="1" applyBorder="1" applyAlignment="1" applyProtection="1">
      <alignment horizontal="center" vertical="center"/>
      <protection locked="0"/>
    </xf>
    <xf numFmtId="2" fontId="15" fillId="3" borderId="14" xfId="0" applyNumberFormat="1" applyFont="1" applyFill="1" applyBorder="1" applyAlignment="1" applyProtection="1">
      <alignment horizontal="center" vertical="center"/>
      <protection locked="0"/>
    </xf>
    <xf numFmtId="2" fontId="15" fillId="3" borderId="15" xfId="0" applyNumberFormat="1" applyFont="1" applyFill="1" applyBorder="1" applyAlignment="1" applyProtection="1">
      <alignment horizontal="center" vertical="center"/>
      <protection locked="0"/>
    </xf>
    <xf numFmtId="0" fontId="14" fillId="2" borderId="38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5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50" xfId="0" applyFont="1" applyFill="1" applyBorder="1" applyAlignment="1">
      <alignment horizontal="center"/>
    </xf>
    <xf numFmtId="0" fontId="15" fillId="3" borderId="0" xfId="0" applyFont="1" applyFill="1" applyAlignment="1" applyProtection="1">
      <alignment horizontal="left" wrapText="1"/>
      <protection locked="0"/>
    </xf>
    <xf numFmtId="0" fontId="14" fillId="2" borderId="18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topLeftCell="A33"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125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101.34</v>
      </c>
      <c r="C19" s="10"/>
      <c r="D19" s="10"/>
      <c r="E19" s="10"/>
    </row>
    <row r="20" spans="1:6" ht="16.5" customHeight="1" x14ac:dyDescent="0.3">
      <c r="A20" s="7" t="s">
        <v>8</v>
      </c>
      <c r="B20" s="12">
        <v>13.6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0.15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56237772</v>
      </c>
      <c r="C24" s="18">
        <v>6248.8</v>
      </c>
      <c r="D24" s="19">
        <v>1.2</v>
      </c>
      <c r="E24" s="20">
        <v>2.9</v>
      </c>
    </row>
    <row r="25" spans="1:6" ht="16.5" customHeight="1" x14ac:dyDescent="0.3">
      <c r="A25" s="17">
        <v>2</v>
      </c>
      <c r="B25" s="18">
        <v>56315421</v>
      </c>
      <c r="C25" s="18">
        <v>6181.1</v>
      </c>
      <c r="D25" s="19">
        <v>1.2</v>
      </c>
      <c r="E25" s="19">
        <v>2.9</v>
      </c>
    </row>
    <row r="26" spans="1:6" ht="16.5" customHeight="1" x14ac:dyDescent="0.3">
      <c r="A26" s="17">
        <v>3</v>
      </c>
      <c r="B26" s="18">
        <v>56114963</v>
      </c>
      <c r="C26" s="18">
        <v>6166.2</v>
      </c>
      <c r="D26" s="19">
        <v>1.2</v>
      </c>
      <c r="E26" s="19">
        <v>2.9</v>
      </c>
    </row>
    <row r="27" spans="1:6" ht="16.5" customHeight="1" x14ac:dyDescent="0.3">
      <c r="A27" s="17">
        <v>4</v>
      </c>
      <c r="B27" s="18">
        <v>56384667</v>
      </c>
      <c r="C27" s="18">
        <v>6193.7</v>
      </c>
      <c r="D27" s="19">
        <v>1.2</v>
      </c>
      <c r="E27" s="19">
        <v>2.9</v>
      </c>
    </row>
    <row r="28" spans="1:6" ht="16.5" customHeight="1" x14ac:dyDescent="0.3">
      <c r="A28" s="17">
        <v>5</v>
      </c>
      <c r="B28" s="18">
        <v>56216737</v>
      </c>
      <c r="C28" s="18">
        <v>6202.5</v>
      </c>
      <c r="D28" s="19">
        <v>1.2</v>
      </c>
      <c r="E28" s="19">
        <v>2.9</v>
      </c>
    </row>
    <row r="29" spans="1:6" ht="16.5" customHeight="1" x14ac:dyDescent="0.3">
      <c r="A29" s="17">
        <v>6</v>
      </c>
      <c r="B29" s="21">
        <v>56256768</v>
      </c>
      <c r="C29" s="21">
        <v>6182.2</v>
      </c>
      <c r="D29" s="22">
        <v>1.2</v>
      </c>
      <c r="E29" s="22">
        <v>2.9</v>
      </c>
    </row>
    <row r="30" spans="1:6" ht="16.5" customHeight="1" x14ac:dyDescent="0.3">
      <c r="A30" s="23" t="s">
        <v>18</v>
      </c>
      <c r="B30" s="24">
        <f>AVERAGE(B24:B29)</f>
        <v>56254388</v>
      </c>
      <c r="C30" s="25">
        <f>AVERAGE(C24:C29)</f>
        <v>6195.75</v>
      </c>
      <c r="D30" s="26">
        <f>AVERAGE(D24:D29)</f>
        <v>1.2</v>
      </c>
      <c r="E30" s="26">
        <f>AVERAGE(E24:E29)</f>
        <v>2.9</v>
      </c>
    </row>
    <row r="31" spans="1:6" ht="16.5" customHeight="1" x14ac:dyDescent="0.3">
      <c r="A31" s="27" t="s">
        <v>19</v>
      </c>
      <c r="B31" s="28">
        <f>(STDEV(B24:B29)/B30)</f>
        <v>1.6260555551935326E-3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125</v>
      </c>
      <c r="C39" s="10"/>
      <c r="D39" s="10"/>
      <c r="E39" s="10"/>
    </row>
    <row r="40" spans="1:6" ht="16.5" customHeight="1" x14ac:dyDescent="0.3">
      <c r="A40" s="11" t="s">
        <v>6</v>
      </c>
      <c r="B40" s="12">
        <v>101.34</v>
      </c>
      <c r="C40" s="10"/>
      <c r="D40" s="10"/>
      <c r="E40" s="10"/>
    </row>
    <row r="41" spans="1:6" ht="16.5" customHeight="1" x14ac:dyDescent="0.3">
      <c r="A41" s="7" t="s">
        <v>8</v>
      </c>
      <c r="B41" s="12">
        <v>15.79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0.15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67460583</v>
      </c>
      <c r="C45" s="18">
        <v>6239.8</v>
      </c>
      <c r="D45" s="19">
        <v>1.2</v>
      </c>
      <c r="E45" s="20">
        <v>2.9</v>
      </c>
    </row>
    <row r="46" spans="1:6" ht="16.5" customHeight="1" x14ac:dyDescent="0.3">
      <c r="A46" s="17">
        <v>2</v>
      </c>
      <c r="B46" s="18">
        <v>67795040</v>
      </c>
      <c r="C46" s="18">
        <v>6416.5</v>
      </c>
      <c r="D46" s="19">
        <v>1.2</v>
      </c>
      <c r="E46" s="19">
        <v>2.9</v>
      </c>
    </row>
    <row r="47" spans="1:6" ht="16.5" customHeight="1" x14ac:dyDescent="0.3">
      <c r="A47" s="17">
        <v>3</v>
      </c>
      <c r="B47" s="18">
        <v>67961719</v>
      </c>
      <c r="C47" s="18">
        <v>6382.3</v>
      </c>
      <c r="D47" s="19">
        <v>1.2</v>
      </c>
      <c r="E47" s="19">
        <v>2.9</v>
      </c>
    </row>
    <row r="48" spans="1:6" ht="16.5" customHeight="1" x14ac:dyDescent="0.3">
      <c r="A48" s="17">
        <v>4</v>
      </c>
      <c r="B48" s="18">
        <v>67746098</v>
      </c>
      <c r="C48" s="18">
        <v>6382.3</v>
      </c>
      <c r="D48" s="19">
        <v>1.2</v>
      </c>
      <c r="E48" s="19">
        <v>2.9</v>
      </c>
    </row>
    <row r="49" spans="1:7" ht="16.5" customHeight="1" x14ac:dyDescent="0.3">
      <c r="A49" s="17">
        <v>5</v>
      </c>
      <c r="B49" s="18">
        <v>68215475</v>
      </c>
      <c r="C49" s="18">
        <v>6412</v>
      </c>
      <c r="D49" s="19">
        <v>1.2</v>
      </c>
      <c r="E49" s="19">
        <v>2.9</v>
      </c>
    </row>
    <row r="50" spans="1:7" ht="16.5" customHeight="1" x14ac:dyDescent="0.3">
      <c r="A50" s="17">
        <v>6</v>
      </c>
      <c r="B50" s="21">
        <v>68008695</v>
      </c>
      <c r="C50" s="21">
        <v>6418.9</v>
      </c>
      <c r="D50" s="22">
        <v>1.2</v>
      </c>
      <c r="E50" s="22">
        <v>2.9</v>
      </c>
    </row>
    <row r="51" spans="1:7" ht="16.5" customHeight="1" x14ac:dyDescent="0.3">
      <c r="A51" s="23" t="s">
        <v>18</v>
      </c>
      <c r="B51" s="24">
        <f>AVERAGE(B45:B50)</f>
        <v>67864601.666666672</v>
      </c>
      <c r="C51" s="25">
        <f>AVERAGE(C45:C50)</f>
        <v>6375.2999999999993</v>
      </c>
      <c r="D51" s="26">
        <f>AVERAGE(D45:D50)</f>
        <v>1.2</v>
      </c>
      <c r="E51" s="26">
        <f>AVERAGE(E45:E50)</f>
        <v>2.9</v>
      </c>
    </row>
    <row r="52" spans="1:7" ht="16.5" customHeight="1" x14ac:dyDescent="0.3">
      <c r="A52" s="27" t="s">
        <v>19</v>
      </c>
      <c r="B52" s="28">
        <f>(STDEV(B45:B50)/B51)</f>
        <v>3.8165067427510901E-3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0" workbookViewId="0">
      <selection activeCell="A11" sqref="A11:F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1" t="s">
        <v>31</v>
      </c>
      <c r="B11" s="292"/>
      <c r="C11" s="292"/>
      <c r="D11" s="292"/>
      <c r="E11" s="292"/>
      <c r="F11" s="293"/>
      <c r="G11" s="91"/>
    </row>
    <row r="12" spans="1:7" ht="16.5" customHeight="1" x14ac:dyDescent="0.3">
      <c r="A12" s="290" t="s">
        <v>32</v>
      </c>
      <c r="B12" s="290"/>
      <c r="C12" s="290"/>
      <c r="D12" s="290"/>
      <c r="E12" s="290"/>
      <c r="F12" s="290"/>
      <c r="G12" s="90"/>
    </row>
    <row r="14" spans="1:7" ht="16.5" customHeight="1" x14ac:dyDescent="0.3">
      <c r="A14" s="295" t="s">
        <v>33</v>
      </c>
      <c r="B14" s="295"/>
      <c r="C14" s="60" t="s">
        <v>5</v>
      </c>
    </row>
    <row r="15" spans="1:7" ht="16.5" customHeight="1" x14ac:dyDescent="0.3">
      <c r="A15" s="295" t="s">
        <v>34</v>
      </c>
      <c r="B15" s="295"/>
      <c r="C15" s="60" t="s">
        <v>7</v>
      </c>
    </row>
    <row r="16" spans="1:7" ht="16.5" customHeight="1" x14ac:dyDescent="0.3">
      <c r="A16" s="295" t="s">
        <v>35</v>
      </c>
      <c r="B16" s="295"/>
      <c r="C16" s="60" t="s">
        <v>9</v>
      </c>
    </row>
    <row r="17" spans="1:5" ht="16.5" customHeight="1" x14ac:dyDescent="0.3">
      <c r="A17" s="295" t="s">
        <v>36</v>
      </c>
      <c r="B17" s="295"/>
      <c r="C17" s="60" t="s">
        <v>11</v>
      </c>
    </row>
    <row r="18" spans="1:5" ht="16.5" customHeight="1" x14ac:dyDescent="0.3">
      <c r="A18" s="295" t="s">
        <v>37</v>
      </c>
      <c r="B18" s="295"/>
      <c r="C18" s="97" t="s">
        <v>12</v>
      </c>
    </row>
    <row r="19" spans="1:5" ht="16.5" customHeight="1" x14ac:dyDescent="0.3">
      <c r="A19" s="295" t="s">
        <v>38</v>
      </c>
      <c r="B19" s="29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0" t="s">
        <v>1</v>
      </c>
      <c r="B21" s="290"/>
      <c r="C21" s="59" t="s">
        <v>39</v>
      </c>
      <c r="D21" s="66"/>
    </row>
    <row r="22" spans="1:5" ht="15.75" customHeight="1" x14ac:dyDescent="0.3">
      <c r="A22" s="294"/>
      <c r="B22" s="294"/>
      <c r="C22" s="57"/>
      <c r="D22" s="294"/>
      <c r="E22" s="29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291.67</v>
      </c>
      <c r="D24" s="87">
        <f t="shared" ref="D24:D43" si="0">(C24-$C$46)/$C$46</f>
        <v>8.2688624783082473E-3</v>
      </c>
      <c r="E24" s="53"/>
    </row>
    <row r="25" spans="1:5" ht="15.75" customHeight="1" x14ac:dyDescent="0.3">
      <c r="C25" s="95">
        <v>289.91000000000003</v>
      </c>
      <c r="D25" s="88">
        <f t="shared" si="0"/>
        <v>2.184749618014719E-3</v>
      </c>
      <c r="E25" s="53"/>
    </row>
    <row r="26" spans="1:5" ht="15.75" customHeight="1" x14ac:dyDescent="0.3">
      <c r="C26" s="95">
        <v>290.39</v>
      </c>
      <c r="D26" s="88">
        <f t="shared" si="0"/>
        <v>3.8440531253673745E-3</v>
      </c>
      <c r="E26" s="53"/>
    </row>
    <row r="27" spans="1:5" ht="15.75" customHeight="1" x14ac:dyDescent="0.3">
      <c r="C27" s="95">
        <v>284.25</v>
      </c>
      <c r="D27" s="88">
        <f t="shared" si="0"/>
        <v>-1.7381204239520335E-2</v>
      </c>
      <c r="E27" s="53"/>
    </row>
    <row r="28" spans="1:5" ht="15.75" customHeight="1" x14ac:dyDescent="0.3">
      <c r="C28" s="95">
        <v>285.54000000000002</v>
      </c>
      <c r="D28" s="88">
        <f t="shared" si="0"/>
        <v>-1.2921826063509645E-2</v>
      </c>
      <c r="E28" s="53"/>
    </row>
    <row r="29" spans="1:5" ht="15.75" customHeight="1" x14ac:dyDescent="0.3">
      <c r="C29" s="95">
        <v>294.02</v>
      </c>
      <c r="D29" s="88">
        <f t="shared" si="0"/>
        <v>1.6392535899722824E-2</v>
      </c>
      <c r="E29" s="53"/>
    </row>
    <row r="30" spans="1:5" ht="15.75" customHeight="1" x14ac:dyDescent="0.3">
      <c r="C30" s="95">
        <v>293.26</v>
      </c>
      <c r="D30" s="88">
        <f t="shared" si="0"/>
        <v>1.3765305346414274E-2</v>
      </c>
      <c r="E30" s="53"/>
    </row>
    <row r="31" spans="1:5" ht="15.75" customHeight="1" x14ac:dyDescent="0.3">
      <c r="C31" s="95">
        <v>293.16000000000003</v>
      </c>
      <c r="D31" s="88">
        <f t="shared" si="0"/>
        <v>1.3419617115715893E-2</v>
      </c>
      <c r="E31" s="53"/>
    </row>
    <row r="32" spans="1:5" ht="15.75" customHeight="1" x14ac:dyDescent="0.3">
      <c r="C32" s="95">
        <v>291.39999999999998</v>
      </c>
      <c r="D32" s="88">
        <f t="shared" si="0"/>
        <v>7.3355042554221692E-3</v>
      </c>
      <c r="E32" s="53"/>
    </row>
    <row r="33" spans="1:7" ht="15.75" customHeight="1" x14ac:dyDescent="0.3">
      <c r="C33" s="95">
        <v>283.89999999999998</v>
      </c>
      <c r="D33" s="88">
        <f t="shared" si="0"/>
        <v>-1.8591113046965157E-2</v>
      </c>
      <c r="E33" s="53"/>
    </row>
    <row r="34" spans="1:7" ht="15.75" customHeight="1" x14ac:dyDescent="0.3">
      <c r="C34" s="95">
        <v>291.31</v>
      </c>
      <c r="D34" s="88">
        <f t="shared" si="0"/>
        <v>7.0243848477936077E-3</v>
      </c>
      <c r="E34" s="53"/>
    </row>
    <row r="35" spans="1:7" ht="15.75" customHeight="1" x14ac:dyDescent="0.3">
      <c r="C35" s="95">
        <v>291.08999999999997</v>
      </c>
      <c r="D35" s="88">
        <f t="shared" si="0"/>
        <v>6.2638707402568189E-3</v>
      </c>
      <c r="E35" s="53"/>
    </row>
    <row r="36" spans="1:7" ht="15.75" customHeight="1" x14ac:dyDescent="0.3">
      <c r="C36" s="95">
        <v>290.23</v>
      </c>
      <c r="D36" s="88">
        <f t="shared" si="0"/>
        <v>3.2909519562498882E-3</v>
      </c>
      <c r="E36" s="53"/>
    </row>
    <row r="37" spans="1:7" ht="15.75" customHeight="1" x14ac:dyDescent="0.3">
      <c r="C37" s="95">
        <v>289.17</v>
      </c>
      <c r="D37" s="88">
        <f t="shared" si="0"/>
        <v>-3.7334328915419516E-4</v>
      </c>
      <c r="E37" s="53"/>
    </row>
    <row r="38" spans="1:7" ht="15.75" customHeight="1" x14ac:dyDescent="0.3">
      <c r="C38" s="95">
        <v>287.2</v>
      </c>
      <c r="D38" s="88">
        <f t="shared" si="0"/>
        <v>-7.183401433914694E-3</v>
      </c>
      <c r="E38" s="53"/>
    </row>
    <row r="39" spans="1:7" ht="15.75" customHeight="1" x14ac:dyDescent="0.3">
      <c r="C39" s="95">
        <v>293.32</v>
      </c>
      <c r="D39" s="88">
        <f t="shared" si="0"/>
        <v>1.3972718284833379E-2</v>
      </c>
      <c r="E39" s="53"/>
    </row>
    <row r="40" spans="1:7" ht="15.75" customHeight="1" x14ac:dyDescent="0.3">
      <c r="C40" s="95">
        <v>281.98</v>
      </c>
      <c r="D40" s="88">
        <f t="shared" si="0"/>
        <v>-2.5228327076376171E-2</v>
      </c>
      <c r="E40" s="53"/>
    </row>
    <row r="41" spans="1:7" ht="15.75" customHeight="1" x14ac:dyDescent="0.3">
      <c r="C41" s="95">
        <v>284</v>
      </c>
      <c r="D41" s="88">
        <f t="shared" si="0"/>
        <v>-1.8245424816266582E-2</v>
      </c>
      <c r="E41" s="53"/>
    </row>
    <row r="42" spans="1:7" ht="15.75" customHeight="1" x14ac:dyDescent="0.3">
      <c r="C42" s="95">
        <v>291.45</v>
      </c>
      <c r="D42" s="88">
        <f t="shared" si="0"/>
        <v>7.5083483707714576E-3</v>
      </c>
      <c r="E42" s="53"/>
    </row>
    <row r="43" spans="1:7" ht="16.5" customHeight="1" x14ac:dyDescent="0.3">
      <c r="C43" s="96">
        <v>288.31</v>
      </c>
      <c r="D43" s="89">
        <f t="shared" si="0"/>
        <v>-3.3462620731613225E-3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5785.5599999999995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289.27799999999996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8">
        <f>C46</f>
        <v>289.27799999999996</v>
      </c>
      <c r="C49" s="93">
        <f>-IF(C46&lt;=80,10%,IF(C46&lt;250,7.5%,5%))</f>
        <v>-0.05</v>
      </c>
      <c r="D49" s="81">
        <f>IF(C46&lt;=80,C46*0.9,IF(C46&lt;250,C46*0.925,C46*0.95))</f>
        <v>274.81409999999994</v>
      </c>
    </row>
    <row r="50" spans="1:6" ht="17.25" customHeight="1" x14ac:dyDescent="0.3">
      <c r="B50" s="289"/>
      <c r="C50" s="94">
        <f>IF(C46&lt;=80, 10%, IF(C46&lt;250, 7.5%, 5%))</f>
        <v>0.05</v>
      </c>
      <c r="D50" s="81">
        <f>IF(C46&lt;=80, C46*1.1, IF(C46&lt;250, C46*1.075, C46*1.05))</f>
        <v>303.74189999999999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5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2" zoomScale="60" zoomScaleNormal="40" zoomScalePageLayoutView="60" workbookViewId="0">
      <selection sqref="A1:I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6" t="s">
        <v>45</v>
      </c>
      <c r="B1" s="296"/>
      <c r="C1" s="296"/>
      <c r="D1" s="296"/>
      <c r="E1" s="296"/>
      <c r="F1" s="296"/>
      <c r="G1" s="296"/>
      <c r="H1" s="296"/>
      <c r="I1" s="296"/>
    </row>
    <row r="2" spans="1:9" ht="18.75" customHeight="1" x14ac:dyDescent="0.25">
      <c r="A2" s="296"/>
      <c r="B2" s="296"/>
      <c r="C2" s="296"/>
      <c r="D2" s="296"/>
      <c r="E2" s="296"/>
      <c r="F2" s="296"/>
      <c r="G2" s="296"/>
      <c r="H2" s="296"/>
      <c r="I2" s="296"/>
    </row>
    <row r="3" spans="1:9" ht="18.75" customHeight="1" x14ac:dyDescent="0.25">
      <c r="A3" s="296"/>
      <c r="B3" s="296"/>
      <c r="C3" s="296"/>
      <c r="D3" s="296"/>
      <c r="E3" s="296"/>
      <c r="F3" s="296"/>
      <c r="G3" s="296"/>
      <c r="H3" s="296"/>
      <c r="I3" s="296"/>
    </row>
    <row r="4" spans="1:9" ht="18.75" customHeight="1" x14ac:dyDescent="0.25">
      <c r="A4" s="296"/>
      <c r="B4" s="296"/>
      <c r="C4" s="296"/>
      <c r="D4" s="296"/>
      <c r="E4" s="296"/>
      <c r="F4" s="296"/>
      <c r="G4" s="296"/>
      <c r="H4" s="296"/>
      <c r="I4" s="296"/>
    </row>
    <row r="5" spans="1:9" ht="18.75" customHeight="1" x14ac:dyDescent="0.25">
      <c r="A5" s="296"/>
      <c r="B5" s="296"/>
      <c r="C5" s="296"/>
      <c r="D5" s="296"/>
      <c r="E5" s="296"/>
      <c r="F5" s="296"/>
      <c r="G5" s="296"/>
      <c r="H5" s="296"/>
      <c r="I5" s="296"/>
    </row>
    <row r="6" spans="1:9" ht="18.75" customHeight="1" x14ac:dyDescent="0.25">
      <c r="A6" s="296"/>
      <c r="B6" s="296"/>
      <c r="C6" s="296"/>
      <c r="D6" s="296"/>
      <c r="E6" s="296"/>
      <c r="F6" s="296"/>
      <c r="G6" s="296"/>
      <c r="H6" s="296"/>
      <c r="I6" s="296"/>
    </row>
    <row r="7" spans="1:9" ht="18.75" customHeight="1" x14ac:dyDescent="0.25">
      <c r="A7" s="296"/>
      <c r="B7" s="296"/>
      <c r="C7" s="296"/>
      <c r="D7" s="296"/>
      <c r="E7" s="296"/>
      <c r="F7" s="296"/>
      <c r="G7" s="296"/>
      <c r="H7" s="296"/>
      <c r="I7" s="296"/>
    </row>
    <row r="8" spans="1:9" x14ac:dyDescent="0.25">
      <c r="A8" s="297" t="s">
        <v>46</v>
      </c>
      <c r="B8" s="297"/>
      <c r="C8" s="297"/>
      <c r="D8" s="297"/>
      <c r="E8" s="297"/>
      <c r="F8" s="297"/>
      <c r="G8" s="297"/>
      <c r="H8" s="297"/>
      <c r="I8" s="297"/>
    </row>
    <row r="9" spans="1:9" x14ac:dyDescent="0.25">
      <c r="A9" s="297"/>
      <c r="B9" s="297"/>
      <c r="C9" s="297"/>
      <c r="D9" s="297"/>
      <c r="E9" s="297"/>
      <c r="F9" s="297"/>
      <c r="G9" s="297"/>
      <c r="H9" s="297"/>
      <c r="I9" s="297"/>
    </row>
    <row r="10" spans="1:9" x14ac:dyDescent="0.25">
      <c r="A10" s="297"/>
      <c r="B10" s="297"/>
      <c r="C10" s="297"/>
      <c r="D10" s="297"/>
      <c r="E10" s="297"/>
      <c r="F10" s="297"/>
      <c r="G10" s="297"/>
      <c r="H10" s="297"/>
      <c r="I10" s="297"/>
    </row>
    <row r="11" spans="1:9" x14ac:dyDescent="0.25">
      <c r="A11" s="297"/>
      <c r="B11" s="297"/>
      <c r="C11" s="297"/>
      <c r="D11" s="297"/>
      <c r="E11" s="297"/>
      <c r="F11" s="297"/>
      <c r="G11" s="297"/>
      <c r="H11" s="297"/>
      <c r="I11" s="297"/>
    </row>
    <row r="12" spans="1:9" x14ac:dyDescent="0.25">
      <c r="A12" s="297"/>
      <c r="B12" s="297"/>
      <c r="C12" s="297"/>
      <c r="D12" s="297"/>
      <c r="E12" s="297"/>
      <c r="F12" s="297"/>
      <c r="G12" s="297"/>
      <c r="H12" s="297"/>
      <c r="I12" s="297"/>
    </row>
    <row r="13" spans="1:9" x14ac:dyDescent="0.25">
      <c r="A13" s="297"/>
      <c r="B13" s="297"/>
      <c r="C13" s="297"/>
      <c r="D13" s="297"/>
      <c r="E13" s="297"/>
      <c r="F13" s="297"/>
      <c r="G13" s="297"/>
      <c r="H13" s="297"/>
      <c r="I13" s="297"/>
    </row>
    <row r="14" spans="1:9" x14ac:dyDescent="0.25">
      <c r="A14" s="297"/>
      <c r="B14" s="297"/>
      <c r="C14" s="297"/>
      <c r="D14" s="297"/>
      <c r="E14" s="297"/>
      <c r="F14" s="297"/>
      <c r="G14" s="297"/>
      <c r="H14" s="297"/>
      <c r="I14" s="297"/>
    </row>
    <row r="15" spans="1:9" ht="19.5" customHeight="1" x14ac:dyDescent="0.3">
      <c r="A15" s="98"/>
    </row>
    <row r="16" spans="1:9" ht="19.5" customHeight="1" x14ac:dyDescent="0.3">
      <c r="A16" s="330" t="s">
        <v>31</v>
      </c>
      <c r="B16" s="331"/>
      <c r="C16" s="331"/>
      <c r="D16" s="331"/>
      <c r="E16" s="331"/>
      <c r="F16" s="331"/>
      <c r="G16" s="331"/>
      <c r="H16" s="332"/>
    </row>
    <row r="17" spans="1:14" ht="20.25" customHeight="1" x14ac:dyDescent="0.25">
      <c r="A17" s="333" t="s">
        <v>47</v>
      </c>
      <c r="B17" s="333"/>
      <c r="C17" s="333"/>
      <c r="D17" s="333"/>
      <c r="E17" s="333"/>
      <c r="F17" s="333"/>
      <c r="G17" s="333"/>
      <c r="H17" s="333"/>
    </row>
    <row r="18" spans="1:14" ht="26.25" customHeight="1" x14ac:dyDescent="0.4">
      <c r="A18" s="100" t="s">
        <v>33</v>
      </c>
      <c r="B18" s="329" t="s">
        <v>5</v>
      </c>
      <c r="C18" s="329"/>
      <c r="D18" s="270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72">
        <v>21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4" t="s">
        <v>9</v>
      </c>
      <c r="C20" s="334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4" t="s">
        <v>11</v>
      </c>
      <c r="C21" s="334"/>
      <c r="D21" s="334"/>
      <c r="E21" s="334"/>
      <c r="F21" s="334"/>
      <c r="G21" s="334"/>
      <c r="H21" s="334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9" t="s">
        <v>125</v>
      </c>
      <c r="C26" s="329"/>
    </row>
    <row r="27" spans="1:14" ht="26.25" customHeight="1" x14ac:dyDescent="0.4">
      <c r="A27" s="109" t="s">
        <v>52</v>
      </c>
      <c r="B27" s="327" t="s">
        <v>126</v>
      </c>
      <c r="C27" s="327"/>
    </row>
    <row r="28" spans="1:14" ht="27" customHeight="1" x14ac:dyDescent="0.4">
      <c r="A28" s="109" t="s">
        <v>6</v>
      </c>
      <c r="B28" s="110">
        <v>101.34</v>
      </c>
    </row>
    <row r="29" spans="1:14" s="14" customFormat="1" ht="27" customHeight="1" x14ac:dyDescent="0.4">
      <c r="A29" s="109" t="s">
        <v>53</v>
      </c>
      <c r="B29" s="111"/>
      <c r="C29" s="304" t="s">
        <v>54</v>
      </c>
      <c r="D29" s="305"/>
      <c r="E29" s="305"/>
      <c r="F29" s="305"/>
      <c r="G29" s="306"/>
      <c r="I29" s="112"/>
      <c r="J29" s="112"/>
      <c r="K29" s="112"/>
      <c r="L29" s="112"/>
    </row>
    <row r="30" spans="1:14" s="14" customFormat="1" ht="19.5" customHeight="1" x14ac:dyDescent="0.3">
      <c r="A30" s="109" t="s">
        <v>55</v>
      </c>
      <c r="B30" s="113">
        <f>B28-B29</f>
        <v>101.34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56</v>
      </c>
      <c r="B31" s="116">
        <v>1</v>
      </c>
      <c r="C31" s="307" t="s">
        <v>57</v>
      </c>
      <c r="D31" s="308"/>
      <c r="E31" s="308"/>
      <c r="F31" s="308"/>
      <c r="G31" s="308"/>
      <c r="H31" s="309"/>
      <c r="I31" s="112"/>
      <c r="J31" s="112"/>
      <c r="K31" s="112"/>
      <c r="L31" s="112"/>
    </row>
    <row r="32" spans="1:14" s="14" customFormat="1" ht="27" customHeight="1" x14ac:dyDescent="0.4">
      <c r="A32" s="109" t="s">
        <v>58</v>
      </c>
      <c r="B32" s="116">
        <v>1</v>
      </c>
      <c r="C32" s="307" t="s">
        <v>59</v>
      </c>
      <c r="D32" s="308"/>
      <c r="E32" s="308"/>
      <c r="F32" s="308"/>
      <c r="G32" s="308"/>
      <c r="H32" s="309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60</v>
      </c>
      <c r="B34" s="121">
        <f>B31/B32</f>
        <v>1</v>
      </c>
      <c r="C34" s="99" t="s">
        <v>61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62</v>
      </c>
      <c r="B36" s="123">
        <v>50</v>
      </c>
      <c r="C36" s="99"/>
      <c r="D36" s="310" t="s">
        <v>63</v>
      </c>
      <c r="E36" s="328"/>
      <c r="F36" s="310" t="s">
        <v>64</v>
      </c>
      <c r="G36" s="311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65</v>
      </c>
      <c r="B37" s="125">
        <v>5</v>
      </c>
      <c r="C37" s="126" t="s">
        <v>66</v>
      </c>
      <c r="D37" s="127" t="s">
        <v>67</v>
      </c>
      <c r="E37" s="128" t="s">
        <v>68</v>
      </c>
      <c r="F37" s="127" t="s">
        <v>67</v>
      </c>
      <c r="G37" s="129" t="s">
        <v>68</v>
      </c>
      <c r="I37" s="130" t="s">
        <v>69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70</v>
      </c>
      <c r="B38" s="125">
        <v>10</v>
      </c>
      <c r="C38" s="131">
        <v>1</v>
      </c>
      <c r="D38" s="281">
        <v>53586359</v>
      </c>
      <c r="E38" s="133">
        <f>IF(ISBLANK(D38),"-",$D$48/$D$45*D38)</f>
        <v>58321099.110159159</v>
      </c>
      <c r="F38" s="281">
        <v>73562618</v>
      </c>
      <c r="G38" s="134">
        <f>IF(ISBLANK(F38),"-",$D$48/$F$45*F38)</f>
        <v>56710869.65906848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71</v>
      </c>
      <c r="B39" s="125">
        <v>1</v>
      </c>
      <c r="C39" s="136">
        <v>2</v>
      </c>
      <c r="D39" s="282">
        <v>53471554</v>
      </c>
      <c r="E39" s="138">
        <f>IF(ISBLANK(D39),"-",$D$48/$D$45*D39)</f>
        <v>58196150.26294709</v>
      </c>
      <c r="F39" s="282">
        <v>73727767</v>
      </c>
      <c r="G39" s="139">
        <f>IF(ISBLANK(F39),"-",$D$48/$F$45*F39)</f>
        <v>56838186.272695869</v>
      </c>
      <c r="I39" s="312">
        <f>ABS((F43/D43*D42)-F42)/D42</f>
        <v>3.4252053843668223E-2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72</v>
      </c>
      <c r="B40" s="125">
        <v>1</v>
      </c>
      <c r="C40" s="136">
        <v>3</v>
      </c>
      <c r="D40" s="282">
        <v>53489138</v>
      </c>
      <c r="E40" s="138">
        <f>IF(ISBLANK(D40),"-",$D$48/$D$45*D40)</f>
        <v>58215287.935778216</v>
      </c>
      <c r="F40" s="282">
        <v>73865209</v>
      </c>
      <c r="G40" s="139">
        <f>IF(ISBLANK(F40),"-",$D$48/$F$45*F40)</f>
        <v>56944143.014850989</v>
      </c>
      <c r="I40" s="312"/>
      <c r="L40" s="117"/>
      <c r="M40" s="117"/>
      <c r="N40" s="140"/>
    </row>
    <row r="41" spans="1:14" ht="27" customHeight="1" x14ac:dyDescent="0.4">
      <c r="A41" s="124" t="s">
        <v>73</v>
      </c>
      <c r="B41" s="125">
        <v>1</v>
      </c>
      <c r="C41" s="141">
        <v>4</v>
      </c>
      <c r="D41" s="283"/>
      <c r="E41" s="143" t="str">
        <f>IF(ISBLANK(D41),"-",$D$48/$D$45*D41)</f>
        <v>-</v>
      </c>
      <c r="F41" s="283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74</v>
      </c>
      <c r="B42" s="125">
        <v>1</v>
      </c>
      <c r="C42" s="146" t="s">
        <v>75</v>
      </c>
      <c r="D42" s="147">
        <f>AVERAGE(D38:D41)</f>
        <v>53515683.666666664</v>
      </c>
      <c r="E42" s="148">
        <f>AVERAGE(E38:E41)</f>
        <v>58244179.102961481</v>
      </c>
      <c r="F42" s="147">
        <f>AVERAGE(F38:F41)</f>
        <v>73718531.333333328</v>
      </c>
      <c r="G42" s="149">
        <f>AVERAGE(G38:G41)</f>
        <v>56831066.315538444</v>
      </c>
      <c r="H42" s="150"/>
    </row>
    <row r="43" spans="1:14" ht="26.25" customHeight="1" x14ac:dyDescent="0.4">
      <c r="A43" s="124" t="s">
        <v>76</v>
      </c>
      <c r="B43" s="125">
        <v>1</v>
      </c>
      <c r="C43" s="151" t="s">
        <v>77</v>
      </c>
      <c r="D43" s="284">
        <v>13.6</v>
      </c>
      <c r="E43" s="140"/>
      <c r="F43" s="284">
        <v>19.2</v>
      </c>
      <c r="H43" s="150"/>
    </row>
    <row r="44" spans="1:14" ht="26.25" customHeight="1" x14ac:dyDescent="0.4">
      <c r="A44" s="124" t="s">
        <v>78</v>
      </c>
      <c r="B44" s="125">
        <v>1</v>
      </c>
      <c r="C44" s="153" t="s">
        <v>79</v>
      </c>
      <c r="D44" s="154">
        <f>D43*$B$34</f>
        <v>13.6</v>
      </c>
      <c r="E44" s="155"/>
      <c r="F44" s="154">
        <f>F43*$B$34</f>
        <v>19.2</v>
      </c>
      <c r="H44" s="150"/>
    </row>
    <row r="45" spans="1:14" ht="19.5" customHeight="1" x14ac:dyDescent="0.3">
      <c r="A45" s="124" t="s">
        <v>80</v>
      </c>
      <c r="B45" s="156">
        <f>(B44/B43)*(B42/B41)*(B40/B39)*(B38/B37)*B36</f>
        <v>100</v>
      </c>
      <c r="C45" s="153" t="s">
        <v>81</v>
      </c>
      <c r="D45" s="157">
        <f>D44*$B$30/100</f>
        <v>13.78224</v>
      </c>
      <c r="E45" s="158"/>
      <c r="F45" s="157">
        <f>F44*$B$30/100</f>
        <v>19.457280000000001</v>
      </c>
      <c r="H45" s="150"/>
    </row>
    <row r="46" spans="1:14" ht="19.5" customHeight="1" x14ac:dyDescent="0.3">
      <c r="A46" s="298" t="s">
        <v>82</v>
      </c>
      <c r="B46" s="299"/>
      <c r="C46" s="153" t="s">
        <v>83</v>
      </c>
      <c r="D46" s="159">
        <f>D45/$B$45</f>
        <v>0.13782240000000001</v>
      </c>
      <c r="E46" s="160"/>
      <c r="F46" s="161">
        <f>F45/$B$45</f>
        <v>0.19457280000000002</v>
      </c>
      <c r="H46" s="150"/>
    </row>
    <row r="47" spans="1:14" ht="27" customHeight="1" x14ac:dyDescent="0.4">
      <c r="A47" s="300"/>
      <c r="B47" s="301"/>
      <c r="C47" s="162" t="s">
        <v>84</v>
      </c>
      <c r="D47" s="163">
        <v>0.15</v>
      </c>
      <c r="E47" s="164"/>
      <c r="F47" s="160"/>
      <c r="H47" s="150"/>
    </row>
    <row r="48" spans="1:14" ht="18.75" x14ac:dyDescent="0.3">
      <c r="C48" s="165" t="s">
        <v>85</v>
      </c>
      <c r="D48" s="157">
        <f>D47*$B$45</f>
        <v>15</v>
      </c>
      <c r="F48" s="166"/>
      <c r="H48" s="150"/>
    </row>
    <row r="49" spans="1:12" ht="19.5" customHeight="1" x14ac:dyDescent="0.3">
      <c r="C49" s="167" t="s">
        <v>86</v>
      </c>
      <c r="D49" s="168">
        <f>D48/B34</f>
        <v>15</v>
      </c>
      <c r="F49" s="166"/>
      <c r="H49" s="150"/>
    </row>
    <row r="50" spans="1:12" ht="18.75" x14ac:dyDescent="0.3">
      <c r="C50" s="122" t="s">
        <v>87</v>
      </c>
      <c r="D50" s="169">
        <f>AVERAGE(E38:E41,G38:G41)</f>
        <v>57537622.709249951</v>
      </c>
      <c r="F50" s="170"/>
      <c r="H50" s="150"/>
    </row>
    <row r="51" spans="1:12" ht="18.75" x14ac:dyDescent="0.3">
      <c r="C51" s="124" t="s">
        <v>49</v>
      </c>
      <c r="D51" s="171">
        <f>STDEV(E38:E41,G38:G41)/D50</f>
        <v>1.3533319564382475E-2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88</v>
      </c>
    </row>
    <row r="55" spans="1:12" ht="18.75" x14ac:dyDescent="0.3">
      <c r="A55" s="99" t="s">
        <v>48</v>
      </c>
      <c r="B55" s="176" t="str">
        <f>B21</f>
        <v>Each film coated tablet contains 150 mg of Lamivudine USP</v>
      </c>
    </row>
    <row r="56" spans="1:12" ht="26.25" customHeight="1" x14ac:dyDescent="0.4">
      <c r="A56" s="177" t="s">
        <v>50</v>
      </c>
      <c r="B56" s="178">
        <v>150</v>
      </c>
      <c r="C56" s="99" t="str">
        <f>B20</f>
        <v>Lamivudine</v>
      </c>
      <c r="H56" s="179"/>
    </row>
    <row r="57" spans="1:12" ht="18.75" x14ac:dyDescent="0.3">
      <c r="A57" s="176" t="s">
        <v>51</v>
      </c>
      <c r="B57" s="271">
        <f>Uniformity!C46</f>
        <v>289.27799999999996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66</v>
      </c>
      <c r="F59" s="181" t="s">
        <v>67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5" t="s">
        <v>94</v>
      </c>
      <c r="D60" s="318">
        <v>288.22000000000003</v>
      </c>
      <c r="E60" s="182">
        <v>1</v>
      </c>
      <c r="F60" s="183">
        <v>57716422</v>
      </c>
      <c r="G60" s="273">
        <f>IF(ISBLANK(F60),"-",(F60/$D$50*$D$47*$B$68)*($B$57/$D$60))</f>
        <v>151.01846006023828</v>
      </c>
      <c r="H60" s="184">
        <f t="shared" ref="H60:H71" si="0">IF(ISBLANK(F60),"-",G60/$B$56)</f>
        <v>1.0067897337349219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6"/>
      <c r="D61" s="319"/>
      <c r="E61" s="185">
        <v>2</v>
      </c>
      <c r="F61" s="137">
        <v>57592616</v>
      </c>
      <c r="G61" s="274">
        <f>IF(ISBLANK(F61),"-",(F61/$D$50*$D$47*$B$68)*($B$57/$D$60))</f>
        <v>150.69451427811381</v>
      </c>
      <c r="H61" s="186">
        <f t="shared" si="0"/>
        <v>1.0046300951874254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6"/>
      <c r="D62" s="319"/>
      <c r="E62" s="185">
        <v>3</v>
      </c>
      <c r="F62" s="187">
        <v>57703044</v>
      </c>
      <c r="G62" s="274">
        <f>IF(ISBLANK(F62),"-",(F62/$D$50*$D$47*$B$68)*($B$57/$D$60))</f>
        <v>150.98345572544625</v>
      </c>
      <c r="H62" s="186">
        <f t="shared" si="0"/>
        <v>1.0065563715029751</v>
      </c>
      <c r="L62" s="112"/>
    </row>
    <row r="63" spans="1:12" ht="27" customHeight="1" x14ac:dyDescent="0.4">
      <c r="A63" s="124" t="s">
        <v>97</v>
      </c>
      <c r="B63" s="125">
        <v>1</v>
      </c>
      <c r="C63" s="326"/>
      <c r="D63" s="320"/>
      <c r="E63" s="188">
        <v>4</v>
      </c>
      <c r="F63" s="189"/>
      <c r="G63" s="274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5" t="s">
        <v>99</v>
      </c>
      <c r="D64" s="318">
        <v>301.47000000000003</v>
      </c>
      <c r="E64" s="182">
        <v>1</v>
      </c>
      <c r="F64" s="183">
        <v>61600465</v>
      </c>
      <c r="G64" s="275">
        <f>IF(ISBLANK(F64),"-",(F64/$D$50*$D$47*$B$68)*($B$57/$D$64))</f>
        <v>154.09716210396118</v>
      </c>
      <c r="H64" s="190">
        <f t="shared" si="0"/>
        <v>1.0273144140264079</v>
      </c>
    </row>
    <row r="65" spans="1:8" ht="26.25" customHeight="1" x14ac:dyDescent="0.4">
      <c r="A65" s="124" t="s">
        <v>100</v>
      </c>
      <c r="B65" s="125">
        <v>1</v>
      </c>
      <c r="C65" s="316"/>
      <c r="D65" s="319"/>
      <c r="E65" s="185">
        <v>2</v>
      </c>
      <c r="F65" s="137">
        <v>61426164</v>
      </c>
      <c r="G65" s="276">
        <f>IF(ISBLANK(F65),"-",(F65/$D$50*$D$47*$B$68)*($B$57/$D$64))</f>
        <v>153.66113796921019</v>
      </c>
      <c r="H65" s="191">
        <f t="shared" si="0"/>
        <v>1.0244075864614013</v>
      </c>
    </row>
    <row r="66" spans="1:8" ht="26.25" customHeight="1" x14ac:dyDescent="0.4">
      <c r="A66" s="124" t="s">
        <v>101</v>
      </c>
      <c r="B66" s="125">
        <v>1</v>
      </c>
      <c r="C66" s="316"/>
      <c r="D66" s="319"/>
      <c r="E66" s="185">
        <v>3</v>
      </c>
      <c r="F66" s="137">
        <v>61642930</v>
      </c>
      <c r="G66" s="276">
        <f>IF(ISBLANK(F66),"-",(F66/$D$50*$D$47*$B$68)*($B$57/$D$64))</f>
        <v>154.20339078240943</v>
      </c>
      <c r="H66" s="191">
        <f t="shared" si="0"/>
        <v>1.0280226052160628</v>
      </c>
    </row>
    <row r="67" spans="1:8" ht="27" customHeight="1" x14ac:dyDescent="0.4">
      <c r="A67" s="124" t="s">
        <v>102</v>
      </c>
      <c r="B67" s="125">
        <v>1</v>
      </c>
      <c r="C67" s="326"/>
      <c r="D67" s="320"/>
      <c r="E67" s="188">
        <v>4</v>
      </c>
      <c r="F67" s="189"/>
      <c r="G67" s="277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1000</v>
      </c>
      <c r="C68" s="315" t="s">
        <v>104</v>
      </c>
      <c r="D68" s="318">
        <v>292.89999999999998</v>
      </c>
      <c r="E68" s="182">
        <v>1</v>
      </c>
      <c r="F68" s="183">
        <v>59965367</v>
      </c>
      <c r="G68" s="275">
        <f>IF(ISBLANK(F68),"-",(F68/$D$50*$D$47*$B$68)*($B$57/$D$68))</f>
        <v>154.39593982941543</v>
      </c>
      <c r="H68" s="186">
        <f t="shared" si="0"/>
        <v>1.0293062655294363</v>
      </c>
    </row>
    <row r="69" spans="1:8" ht="27" customHeight="1" x14ac:dyDescent="0.4">
      <c r="A69" s="172" t="s">
        <v>105</v>
      </c>
      <c r="B69" s="194">
        <f>(D47*B68)/B56*B57</f>
        <v>289.27799999999996</v>
      </c>
      <c r="C69" s="316"/>
      <c r="D69" s="319"/>
      <c r="E69" s="185">
        <v>2</v>
      </c>
      <c r="F69" s="137">
        <v>59512802</v>
      </c>
      <c r="G69" s="276">
        <f>IF(ISBLANK(F69),"-",(F69/$D$50*$D$47*$B$68)*($B$57/$D$68))</f>
        <v>153.23069725683351</v>
      </c>
      <c r="H69" s="186">
        <f t="shared" si="0"/>
        <v>1.0215379817122234</v>
      </c>
    </row>
    <row r="70" spans="1:8" ht="26.25" customHeight="1" x14ac:dyDescent="0.4">
      <c r="A70" s="321" t="s">
        <v>82</v>
      </c>
      <c r="B70" s="322"/>
      <c r="C70" s="316"/>
      <c r="D70" s="319"/>
      <c r="E70" s="185">
        <v>3</v>
      </c>
      <c r="F70" s="137">
        <v>59725822</v>
      </c>
      <c r="G70" s="276">
        <f>IF(ISBLANK(F70),"-",(F70/$D$50*$D$47*$B$68)*($B$57/$D$68))</f>
        <v>153.77917089666735</v>
      </c>
      <c r="H70" s="186">
        <f t="shared" si="0"/>
        <v>1.0251944726444491</v>
      </c>
    </row>
    <row r="71" spans="1:8" ht="27" customHeight="1" x14ac:dyDescent="0.4">
      <c r="A71" s="323"/>
      <c r="B71" s="324"/>
      <c r="C71" s="317"/>
      <c r="D71" s="320"/>
      <c r="E71" s="188">
        <v>4</v>
      </c>
      <c r="F71" s="189"/>
      <c r="G71" s="277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7"/>
      <c r="G72" s="198" t="s">
        <v>75</v>
      </c>
      <c r="H72" s="199">
        <f>AVERAGE(H60:H71)</f>
        <v>1.0193066140017004</v>
      </c>
    </row>
    <row r="73" spans="1:8" ht="26.25" customHeight="1" x14ac:dyDescent="0.4">
      <c r="C73" s="196"/>
      <c r="D73" s="196"/>
      <c r="E73" s="196"/>
      <c r="F73" s="197"/>
      <c r="G73" s="200" t="s">
        <v>49</v>
      </c>
      <c r="H73" s="285">
        <f>STDEV(H60:H71)/H72</f>
        <v>1.0055217627280896E-2</v>
      </c>
    </row>
    <row r="74" spans="1:8" ht="27" customHeight="1" x14ac:dyDescent="0.4">
      <c r="A74" s="196"/>
      <c r="B74" s="196"/>
      <c r="C74" s="197"/>
      <c r="D74" s="197"/>
      <c r="E74" s="201"/>
      <c r="F74" s="197"/>
      <c r="G74" s="202" t="s">
        <v>20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302" t="str">
        <f>B20</f>
        <v>Lamivudine</v>
      </c>
      <c r="D76" s="302"/>
      <c r="E76" s="205" t="s">
        <v>108</v>
      </c>
      <c r="F76" s="205"/>
      <c r="G76" s="206">
        <f>H72</f>
        <v>1.0193066140017004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5" t="str">
        <f>B26</f>
        <v>lamivudine</v>
      </c>
      <c r="C79" s="325"/>
    </row>
    <row r="80" spans="1:8" ht="26.25" customHeight="1" x14ac:dyDescent="0.4">
      <c r="A80" s="109" t="s">
        <v>52</v>
      </c>
      <c r="B80" s="325" t="str">
        <f>B27</f>
        <v>WRS/L3/6</v>
      </c>
      <c r="C80" s="325"/>
    </row>
    <row r="81" spans="1:12" ht="27" customHeight="1" x14ac:dyDescent="0.4">
      <c r="A81" s="109" t="s">
        <v>6</v>
      </c>
      <c r="B81" s="208">
        <f>B28</f>
        <v>101.34</v>
      </c>
    </row>
    <row r="82" spans="1:12" s="14" customFormat="1" ht="27" customHeight="1" x14ac:dyDescent="0.4">
      <c r="A82" s="109" t="s">
        <v>53</v>
      </c>
      <c r="B82" s="111">
        <v>0</v>
      </c>
      <c r="C82" s="304" t="s">
        <v>54</v>
      </c>
      <c r="D82" s="305"/>
      <c r="E82" s="305"/>
      <c r="F82" s="305"/>
      <c r="G82" s="306"/>
      <c r="I82" s="112"/>
      <c r="J82" s="112"/>
      <c r="K82" s="112"/>
      <c r="L82" s="112"/>
    </row>
    <row r="83" spans="1:12" s="14" customFormat="1" ht="19.5" customHeight="1" x14ac:dyDescent="0.3">
      <c r="A83" s="109" t="s">
        <v>55</v>
      </c>
      <c r="B83" s="113">
        <f>B81-B82</f>
        <v>101.34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56</v>
      </c>
      <c r="B84" s="116">
        <v>1</v>
      </c>
      <c r="C84" s="307" t="s">
        <v>111</v>
      </c>
      <c r="D84" s="308"/>
      <c r="E84" s="308"/>
      <c r="F84" s="308"/>
      <c r="G84" s="308"/>
      <c r="H84" s="309"/>
      <c r="I84" s="112"/>
      <c r="J84" s="112"/>
      <c r="K84" s="112"/>
      <c r="L84" s="112"/>
    </row>
    <row r="85" spans="1:12" s="14" customFormat="1" ht="27" customHeight="1" x14ac:dyDescent="0.4">
      <c r="A85" s="109" t="s">
        <v>58</v>
      </c>
      <c r="B85" s="116">
        <v>1</v>
      </c>
      <c r="C85" s="307" t="s">
        <v>112</v>
      </c>
      <c r="D85" s="308"/>
      <c r="E85" s="308"/>
      <c r="F85" s="308"/>
      <c r="G85" s="308"/>
      <c r="H85" s="309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60</v>
      </c>
      <c r="B87" s="121">
        <f>B84/B85</f>
        <v>1</v>
      </c>
      <c r="C87" s="99" t="s">
        <v>61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62</v>
      </c>
      <c r="B89" s="123">
        <v>50</v>
      </c>
      <c r="D89" s="209" t="s">
        <v>63</v>
      </c>
      <c r="E89" s="210"/>
      <c r="F89" s="310" t="s">
        <v>64</v>
      </c>
      <c r="G89" s="311"/>
    </row>
    <row r="90" spans="1:12" ht="27" customHeight="1" x14ac:dyDescent="0.4">
      <c r="A90" s="124" t="s">
        <v>65</v>
      </c>
      <c r="B90" s="125">
        <v>5</v>
      </c>
      <c r="C90" s="211" t="s">
        <v>66</v>
      </c>
      <c r="D90" s="127" t="s">
        <v>67</v>
      </c>
      <c r="E90" s="128" t="s">
        <v>68</v>
      </c>
      <c r="F90" s="127" t="s">
        <v>67</v>
      </c>
      <c r="G90" s="212" t="s">
        <v>68</v>
      </c>
      <c r="I90" s="130" t="s">
        <v>69</v>
      </c>
    </row>
    <row r="91" spans="1:12" ht="26.25" customHeight="1" x14ac:dyDescent="0.4">
      <c r="A91" s="124" t="s">
        <v>70</v>
      </c>
      <c r="B91" s="125">
        <v>10</v>
      </c>
      <c r="C91" s="213">
        <v>1</v>
      </c>
      <c r="D91" s="132">
        <v>67626324</v>
      </c>
      <c r="E91" s="133">
        <f>IF(ISBLANK(D91),"-",$D$101/$D$98*D91)</f>
        <v>64775882.039149456</v>
      </c>
      <c r="F91" s="132">
        <v>64933216</v>
      </c>
      <c r="G91" s="134">
        <f>IF(ISBLANK(F91),"-",$D$101/$F$98*F91)</f>
        <v>65156209.216671489</v>
      </c>
      <c r="I91" s="135"/>
    </row>
    <row r="92" spans="1:12" ht="26.25" customHeight="1" x14ac:dyDescent="0.4">
      <c r="A92" s="124" t="s">
        <v>71</v>
      </c>
      <c r="B92" s="125">
        <v>1</v>
      </c>
      <c r="C92" s="197">
        <v>2</v>
      </c>
      <c r="D92" s="137">
        <v>67895443</v>
      </c>
      <c r="E92" s="138">
        <f>IF(ISBLANK(D92),"-",$D$101/$D$98*D92)</f>
        <v>65033657.703526743</v>
      </c>
      <c r="F92" s="137">
        <v>64483062</v>
      </c>
      <c r="G92" s="139">
        <f>IF(ISBLANK(F92),"-",$D$101/$F$98*F92)</f>
        <v>64704509.300811455</v>
      </c>
      <c r="I92" s="312">
        <f>ABS((F96/D96*D95)-F95)/D95</f>
        <v>1.1718883784746035E-5</v>
      </c>
    </row>
    <row r="93" spans="1:12" ht="26.25" customHeight="1" x14ac:dyDescent="0.4">
      <c r="A93" s="124" t="s">
        <v>72</v>
      </c>
      <c r="B93" s="125">
        <v>1</v>
      </c>
      <c r="C93" s="197">
        <v>3</v>
      </c>
      <c r="D93" s="137">
        <v>67669440</v>
      </c>
      <c r="E93" s="138">
        <f>IF(ISBLANK(D93),"-",$D$101/$D$98*D93)</f>
        <v>64817180.70459222</v>
      </c>
      <c r="F93" s="137">
        <v>64541963</v>
      </c>
      <c r="G93" s="139">
        <f>IF(ISBLANK(F93),"-",$D$101/$F$98*F93)</f>
        <v>64763612.578232236</v>
      </c>
      <c r="I93" s="312"/>
    </row>
    <row r="94" spans="1:12" ht="27" customHeight="1" x14ac:dyDescent="0.4">
      <c r="A94" s="124" t="s">
        <v>73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74</v>
      </c>
      <c r="B95" s="125">
        <v>1</v>
      </c>
      <c r="C95" s="216" t="s">
        <v>75</v>
      </c>
      <c r="D95" s="217">
        <f>AVERAGE(D91:D94)</f>
        <v>67730402.333333328</v>
      </c>
      <c r="E95" s="148">
        <f>AVERAGE(E91:E94)</f>
        <v>64875573.482422806</v>
      </c>
      <c r="F95" s="218">
        <f>AVERAGE(F91:F94)</f>
        <v>64652747</v>
      </c>
      <c r="G95" s="219">
        <f>AVERAGE(G91:G94)</f>
        <v>64874777.031905055</v>
      </c>
    </row>
    <row r="96" spans="1:12" ht="26.25" customHeight="1" x14ac:dyDescent="0.4">
      <c r="A96" s="124" t="s">
        <v>76</v>
      </c>
      <c r="B96" s="110">
        <v>1</v>
      </c>
      <c r="C96" s="220" t="s">
        <v>113</v>
      </c>
      <c r="D96" s="221">
        <v>17.170000000000002</v>
      </c>
      <c r="E96" s="140"/>
      <c r="F96" s="152">
        <v>16.39</v>
      </c>
    </row>
    <row r="97" spans="1:10" ht="26.25" customHeight="1" x14ac:dyDescent="0.4">
      <c r="A97" s="124" t="s">
        <v>78</v>
      </c>
      <c r="B97" s="110">
        <v>1</v>
      </c>
      <c r="C97" s="222" t="s">
        <v>114</v>
      </c>
      <c r="D97" s="223">
        <f>D96*$B$87</f>
        <v>17.170000000000002</v>
      </c>
      <c r="E97" s="155"/>
      <c r="F97" s="154">
        <f>F96*$B$87</f>
        <v>16.39</v>
      </c>
    </row>
    <row r="98" spans="1:10" ht="19.5" customHeight="1" x14ac:dyDescent="0.3">
      <c r="A98" s="124" t="s">
        <v>80</v>
      </c>
      <c r="B98" s="224">
        <f>(B97/B96)*(B95/B94)*(B93/B92)*(B91/B90)*B89</f>
        <v>100</v>
      </c>
      <c r="C98" s="222" t="s">
        <v>115</v>
      </c>
      <c r="D98" s="225">
        <f>D97*$B$83/100</f>
        <v>17.400078000000004</v>
      </c>
      <c r="E98" s="158"/>
      <c r="F98" s="157">
        <f>F97*$B$83/100</f>
        <v>16.609626000000002</v>
      </c>
    </row>
    <row r="99" spans="1:10" ht="19.5" customHeight="1" x14ac:dyDescent="0.3">
      <c r="A99" s="298" t="s">
        <v>82</v>
      </c>
      <c r="B99" s="313"/>
      <c r="C99" s="222" t="s">
        <v>116</v>
      </c>
      <c r="D99" s="226">
        <f>D98/$B$98</f>
        <v>0.17400078000000005</v>
      </c>
      <c r="E99" s="158"/>
      <c r="F99" s="161">
        <f>F98/$B$98</f>
        <v>0.16609626000000002</v>
      </c>
      <c r="G99" s="227"/>
      <c r="H99" s="150"/>
    </row>
    <row r="100" spans="1:10" ht="19.5" customHeight="1" x14ac:dyDescent="0.3">
      <c r="A100" s="300"/>
      <c r="B100" s="314"/>
      <c r="C100" s="222" t="s">
        <v>84</v>
      </c>
      <c r="D100" s="228">
        <f>$B$56/$B$116</f>
        <v>0.16666666666666666</v>
      </c>
      <c r="F100" s="166"/>
      <c r="G100" s="229"/>
      <c r="H100" s="150"/>
    </row>
    <row r="101" spans="1:10" ht="18.75" x14ac:dyDescent="0.3">
      <c r="C101" s="222" t="s">
        <v>85</v>
      </c>
      <c r="D101" s="223">
        <f>D100*$B$98</f>
        <v>16.666666666666664</v>
      </c>
      <c r="F101" s="166"/>
      <c r="G101" s="227"/>
      <c r="H101" s="150"/>
    </row>
    <row r="102" spans="1:10" ht="19.5" customHeight="1" x14ac:dyDescent="0.3">
      <c r="C102" s="230" t="s">
        <v>86</v>
      </c>
      <c r="D102" s="231">
        <f>D101/B34</f>
        <v>16.666666666666664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64875175.257163934</v>
      </c>
      <c r="F103" s="170"/>
      <c r="G103" s="235"/>
      <c r="H103" s="150"/>
      <c r="J103" s="236"/>
    </row>
    <row r="104" spans="1:10" ht="18.75" x14ac:dyDescent="0.3">
      <c r="C104" s="200" t="s">
        <v>49</v>
      </c>
      <c r="D104" s="237">
        <f>STDEV(E91:E94,G91:G94)/D103</f>
        <v>2.7478181865647397E-3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67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58964872</v>
      </c>
      <c r="E108" s="278">
        <f t="shared" ref="E108:E113" si="1">IF(ISBLANK(D108),"-",D108/$D$103*$D$100*$B$116)</f>
        <v>136.33459585950496</v>
      </c>
      <c r="F108" s="245">
        <f t="shared" ref="F108:F112" si="2">IF(ISBLANK(D108), "-", E108/$B$56)</f>
        <v>0.90889730573003302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61580287</v>
      </c>
      <c r="E109" s="279">
        <f t="shared" si="1"/>
        <v>142.38178183541763</v>
      </c>
      <c r="F109" s="246">
        <f t="shared" si="2"/>
        <v>0.94921187890278413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61244459</v>
      </c>
      <c r="E110" s="279">
        <f t="shared" si="1"/>
        <v>141.605303008188</v>
      </c>
      <c r="F110" s="246">
        <f t="shared" si="2"/>
        <v>0.94403535338792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63875132</v>
      </c>
      <c r="E111" s="279">
        <f t="shared" si="1"/>
        <v>147.687767501514</v>
      </c>
      <c r="F111" s="246">
        <f t="shared" si="2"/>
        <v>0.98458511667675996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63418858</v>
      </c>
      <c r="E112" s="279">
        <f t="shared" si="1"/>
        <v>146.6328015653342</v>
      </c>
      <c r="F112" s="246">
        <f t="shared" si="2"/>
        <v>0.97755201043556139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/>
      <c r="E113" s="280" t="str">
        <f t="shared" si="1"/>
        <v>-</v>
      </c>
      <c r="F113" s="249"/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/>
      <c r="E115" s="252" t="s">
        <v>75</v>
      </c>
      <c r="F115" s="253">
        <f>AVERAGE(F108:F113)</f>
        <v>0.95285633302661166</v>
      </c>
    </row>
    <row r="116" spans="1:10" ht="27" customHeight="1" x14ac:dyDescent="0.4">
      <c r="A116" s="124" t="s">
        <v>103</v>
      </c>
      <c r="B116" s="156">
        <f>(B115/B114)*(B113/B112)*(B111/B110)*(B109/B108)*B107</f>
        <v>900</v>
      </c>
      <c r="C116" s="254"/>
      <c r="D116" s="255"/>
      <c r="E116" s="216" t="s">
        <v>49</v>
      </c>
      <c r="F116" s="256">
        <f>STDEV(F108:F113)/F115</f>
        <v>3.1659062043516276E-2</v>
      </c>
      <c r="I116" s="98"/>
    </row>
    <row r="117" spans="1:10" ht="27" customHeight="1" x14ac:dyDescent="0.4">
      <c r="A117" s="298" t="s">
        <v>82</v>
      </c>
      <c r="B117" s="299"/>
      <c r="C117" s="257"/>
      <c r="D117" s="258"/>
      <c r="E117" s="259" t="s">
        <v>20</v>
      </c>
      <c r="F117" s="260">
        <f>COUNT(F108:F113)</f>
        <v>5</v>
      </c>
      <c r="I117" s="98"/>
      <c r="J117" s="236"/>
    </row>
    <row r="118" spans="1:10" ht="19.5" customHeight="1" x14ac:dyDescent="0.3">
      <c r="A118" s="300"/>
      <c r="B118" s="301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9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02" t="str">
        <f>B20</f>
        <v>Lamivudine</v>
      </c>
      <c r="D120" s="302"/>
      <c r="E120" s="205" t="s">
        <v>124</v>
      </c>
      <c r="F120" s="205"/>
      <c r="G120" s="206">
        <f>F115</f>
        <v>0.95285633302661166</v>
      </c>
      <c r="H120" s="98"/>
      <c r="I120" s="98"/>
    </row>
    <row r="121" spans="1:10" ht="19.5" customHeight="1" x14ac:dyDescent="0.3">
      <c r="A121" s="261"/>
      <c r="B121" s="261"/>
      <c r="C121" s="262"/>
      <c r="D121" s="262"/>
      <c r="E121" s="262"/>
      <c r="F121" s="262"/>
      <c r="G121" s="262"/>
      <c r="H121" s="262"/>
    </row>
    <row r="122" spans="1:10" ht="18.75" x14ac:dyDescent="0.3">
      <c r="B122" s="303" t="s">
        <v>26</v>
      </c>
      <c r="C122" s="303"/>
      <c r="E122" s="211" t="s">
        <v>27</v>
      </c>
      <c r="F122" s="263"/>
      <c r="G122" s="303" t="s">
        <v>28</v>
      </c>
      <c r="H122" s="303"/>
    </row>
    <row r="123" spans="1:10" ht="69.95" customHeight="1" x14ac:dyDescent="0.3">
      <c r="A123" s="264" t="s">
        <v>29</v>
      </c>
      <c r="B123" s="265"/>
      <c r="C123" s="265"/>
      <c r="E123" s="265"/>
      <c r="F123" s="98"/>
      <c r="G123" s="266"/>
      <c r="H123" s="266"/>
    </row>
    <row r="124" spans="1:10" ht="69.95" customHeight="1" x14ac:dyDescent="0.3">
      <c r="A124" s="264" t="s">
        <v>30</v>
      </c>
      <c r="B124" s="267"/>
      <c r="C124" s="267"/>
      <c r="E124" s="267"/>
      <c r="F124" s="98"/>
      <c r="G124" s="268"/>
      <c r="H124" s="268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lamivudine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cp:lastPrinted>2015-10-01T11:13:22Z</cp:lastPrinted>
  <dcterms:created xsi:type="dcterms:W3CDTF">2005-07-05T10:19:27Z</dcterms:created>
  <dcterms:modified xsi:type="dcterms:W3CDTF">2015-10-01T11:14:14Z</dcterms:modified>
  <cp:category/>
</cp:coreProperties>
</file>