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0215" windowHeight="8640" activeTab="1"/>
  </bookViews>
  <sheets>
    <sheet name="SST Lopinavir" sheetId="5" r:id="rId1"/>
    <sheet name="SST Ritonavir" sheetId="1" r:id="rId2"/>
    <sheet name="Uniformity" sheetId="2" r:id="rId3"/>
    <sheet name="Lopinavir" sheetId="3" r:id="rId4"/>
    <sheet name="Ritonavir" sheetId="4" r:id="rId5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21" i="1" l="1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F45" i="4"/>
  <c r="D45" i="4"/>
  <c r="G38" i="4"/>
  <c r="E38" i="4"/>
  <c r="G91" i="3" l="1"/>
  <c r="E91" i="3"/>
  <c r="B87" i="3"/>
  <c r="B87" i="4"/>
  <c r="H60" i="3" l="1"/>
  <c r="F45" i="3"/>
  <c r="E38" i="3"/>
  <c r="D45" i="3"/>
  <c r="B69" i="4" l="1"/>
  <c r="B45" i="4"/>
  <c r="C120" i="4"/>
  <c r="B116" i="4"/>
  <c r="D100" i="4" s="1"/>
  <c r="D101" i="4" s="1"/>
  <c r="B98" i="4"/>
  <c r="F95" i="4"/>
  <c r="D95" i="4"/>
  <c r="I92" i="4" s="1"/>
  <c r="F97" i="4"/>
  <c r="B81" i="4"/>
  <c r="B83" i="4" s="1"/>
  <c r="B80" i="4"/>
  <c r="B79" i="4"/>
  <c r="C76" i="4"/>
  <c r="B68" i="4"/>
  <c r="B57" i="4"/>
  <c r="C56" i="4"/>
  <c r="B55" i="4"/>
  <c r="D49" i="4"/>
  <c r="D46" i="4"/>
  <c r="F44" i="4"/>
  <c r="D44" i="4"/>
  <c r="F42" i="4"/>
  <c r="D42" i="4"/>
  <c r="G41" i="4"/>
  <c r="E41" i="4"/>
  <c r="B68" i="3"/>
  <c r="G38" i="3"/>
  <c r="B45" i="3"/>
  <c r="C120" i="3"/>
  <c r="B116" i="3"/>
  <c r="D100" i="3"/>
  <c r="D101" i="3" s="1"/>
  <c r="B98" i="3"/>
  <c r="F95" i="3"/>
  <c r="D95" i="3"/>
  <c r="I92" i="3"/>
  <c r="D97" i="3"/>
  <c r="B81" i="3"/>
  <c r="B83" i="3" s="1"/>
  <c r="B80" i="3"/>
  <c r="B79" i="3"/>
  <c r="C76" i="3"/>
  <c r="B57" i="3"/>
  <c r="C56" i="3"/>
  <c r="B55" i="3"/>
  <c r="D48" i="3"/>
  <c r="F42" i="3"/>
  <c r="D42" i="3"/>
  <c r="F44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8" i="4" l="1"/>
  <c r="F99" i="4" s="1"/>
  <c r="F97" i="3"/>
  <c r="D97" i="4"/>
  <c r="D98" i="4" s="1"/>
  <c r="D99" i="4" s="1"/>
  <c r="I39" i="4"/>
  <c r="E39" i="4"/>
  <c r="E40" i="4"/>
  <c r="G40" i="4"/>
  <c r="F46" i="4"/>
  <c r="G92" i="4"/>
  <c r="D102" i="4"/>
  <c r="G93" i="4"/>
  <c r="G94" i="4"/>
  <c r="G39" i="4"/>
  <c r="B69" i="3"/>
  <c r="I39" i="3"/>
  <c r="F46" i="3"/>
  <c r="D98" i="3"/>
  <c r="D99" i="3" s="1"/>
  <c r="F98" i="3"/>
  <c r="F99" i="3" s="1"/>
  <c r="D49" i="3"/>
  <c r="D102" i="3"/>
  <c r="E93" i="3"/>
  <c r="D44" i="3"/>
  <c r="D46" i="3" s="1"/>
  <c r="G91" i="4" l="1"/>
  <c r="G42" i="4"/>
  <c r="D52" i="4"/>
  <c r="E42" i="4"/>
  <c r="D50" i="4"/>
  <c r="E94" i="4"/>
  <c r="E91" i="4"/>
  <c r="E92" i="4"/>
  <c r="G95" i="4"/>
  <c r="E93" i="4"/>
  <c r="G40" i="3"/>
  <c r="G92" i="3"/>
  <c r="E92" i="3"/>
  <c r="E94" i="3"/>
  <c r="E95" i="3" s="1"/>
  <c r="G94" i="3"/>
  <c r="D105" i="3" s="1"/>
  <c r="G93" i="3"/>
  <c r="G41" i="3"/>
  <c r="G39" i="3"/>
  <c r="E40" i="3"/>
  <c r="E41" i="3"/>
  <c r="E39" i="3"/>
  <c r="G69" i="4" l="1"/>
  <c r="H69" i="4" s="1"/>
  <c r="G65" i="4"/>
  <c r="H65" i="4" s="1"/>
  <c r="G62" i="4"/>
  <c r="H62" i="4" s="1"/>
  <c r="G60" i="4"/>
  <c r="H60" i="4" s="1"/>
  <c r="D51" i="4"/>
  <c r="G70" i="4"/>
  <c r="H70" i="4" s="1"/>
  <c r="G66" i="4"/>
  <c r="H66" i="4" s="1"/>
  <c r="G64" i="4"/>
  <c r="H64" i="4" s="1"/>
  <c r="G61" i="4"/>
  <c r="H61" i="4" s="1"/>
  <c r="G68" i="4"/>
  <c r="H68" i="4" s="1"/>
  <c r="D103" i="4"/>
  <c r="E95" i="4"/>
  <c r="D105" i="4"/>
  <c r="D103" i="3"/>
  <c r="E110" i="3" s="1"/>
  <c r="F110" i="3" s="1"/>
  <c r="G95" i="3"/>
  <c r="G42" i="3"/>
  <c r="D50" i="3"/>
  <c r="D51" i="3" s="1"/>
  <c r="E42" i="3"/>
  <c r="D52" i="3"/>
  <c r="E113" i="3"/>
  <c r="F113" i="3" s="1"/>
  <c r="E108" i="3" l="1"/>
  <c r="F108" i="3" s="1"/>
  <c r="D104" i="3"/>
  <c r="E112" i="3"/>
  <c r="F112" i="3" s="1"/>
  <c r="E111" i="3"/>
  <c r="F111" i="3" s="1"/>
  <c r="E112" i="4"/>
  <c r="F112" i="4" s="1"/>
  <c r="E110" i="4"/>
  <c r="F110" i="4" s="1"/>
  <c r="E108" i="4"/>
  <c r="F108" i="4" s="1"/>
  <c r="E113" i="4"/>
  <c r="F113" i="4" s="1"/>
  <c r="E111" i="4"/>
  <c r="F111" i="4" s="1"/>
  <c r="E109" i="4"/>
  <c r="F109" i="4" s="1"/>
  <c r="D104" i="4"/>
  <c r="H72" i="4"/>
  <c r="G76" i="4" s="1"/>
  <c r="H74" i="4"/>
  <c r="E109" i="3"/>
  <c r="F109" i="3" s="1"/>
  <c r="G70" i="3"/>
  <c r="H70" i="3" s="1"/>
  <c r="G65" i="3"/>
  <c r="H65" i="3" s="1"/>
  <c r="G61" i="3"/>
  <c r="H61" i="3" s="1"/>
  <c r="G68" i="3"/>
  <c r="H68" i="3" s="1"/>
  <c r="G69" i="3"/>
  <c r="H69" i="3" s="1"/>
  <c r="G66" i="3"/>
  <c r="H66" i="3" s="1"/>
  <c r="G64" i="3"/>
  <c r="H64" i="3" s="1"/>
  <c r="G62" i="3"/>
  <c r="H62" i="3" s="1"/>
  <c r="G60" i="3"/>
  <c r="F115" i="3" l="1"/>
  <c r="F116" i="3" s="1"/>
  <c r="F117" i="3"/>
  <c r="F115" i="4"/>
  <c r="F117" i="4"/>
  <c r="H73" i="4"/>
  <c r="G120" i="3"/>
  <c r="H72" i="3"/>
  <c r="G76" i="3" s="1"/>
  <c r="H74" i="3"/>
  <c r="G120" i="4" l="1"/>
  <c r="F116" i="4"/>
  <c r="H73" i="3"/>
</calcChain>
</file>

<file path=xl/sharedStrings.xml><?xml version="1.0" encoding="utf-8"?>
<sst xmlns="http://schemas.openxmlformats.org/spreadsheetml/2006/main" count="440" uniqueCount="129">
  <si>
    <t>HPLC System Suitability Report</t>
  </si>
  <si>
    <t>Analysis Data</t>
  </si>
  <si>
    <t>Assay</t>
  </si>
  <si>
    <t>Sample(s)</t>
  </si>
  <si>
    <t>Reference Substance:</t>
  </si>
  <si>
    <t>Lopinavir/ Ritonavir Tablets</t>
  </si>
  <si>
    <t>% age Purity:</t>
  </si>
  <si>
    <t>NDQD201508102</t>
  </si>
  <si>
    <t>Weight (mg):</t>
  </si>
  <si>
    <t xml:space="preserve">Lopinavir/ Ritonavir </t>
  </si>
  <si>
    <t>Standard Conc (mg/mL):</t>
  </si>
  <si>
    <t>Each film-coated tablet contains Lopinavir 200 mg, Ritonavir 50 mg</t>
  </si>
  <si>
    <t>2015-08-11 14:35:24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</si>
  <si>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</si>
  <si>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</si>
  <si>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</si>
  <si>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</si>
  <si>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</si>
  <si>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</si>
  <si>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</si>
  <si>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</si>
  <si>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</si>
  <si>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</si>
  <si>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</si>
  <si>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</si>
  <si>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</si>
  <si>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</si>
  <si>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</si>
  <si>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</si>
  <si>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</si>
  <si>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</si>
  <si>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</si>
  <si>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</si>
  <si>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</si>
  <si>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</si>
  <si>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</si>
  <si>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</si>
  <si>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</si>
  <si>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</si>
  <si>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</si>
  <si>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</si>
  <si>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</si>
  <si>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</si>
  <si>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</si>
  <si>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</si>
  <si>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</si>
  <si>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</si>
  <si>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</si>
  <si>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</si>
  <si>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</si>
  <si>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</si>
  <si>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</si>
  <si>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</si>
  <si>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</si>
  <si>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</si>
  <si>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</si>
  <si>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</si>
  <si>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</si>
  <si>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</si>
  <si>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</si>
  <si>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</si>
  <si>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</si>
  <si>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</si>
  <si>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</si>
  <si>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</si>
  <si>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</si>
  <si>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</si>
  <si>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</si>
  <si>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</si>
  <si>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</si>
  <si>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</si>
  <si>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</si>
  <si>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</si>
  <si>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</si>
  <si>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</si>
  <si>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</si>
  <si>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</si>
  <si>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</si>
  <si>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</si>
  <si>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</si>
  <si>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</si>
  <si>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</si>
  <si>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</si>
  <si>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</si>
  <si>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</si>
  <si>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</si>
  <si>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</si>
  <si>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</si>
  <si>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</si>
  <si>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</si>
  <si>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</si>
  <si>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</si>
  <si>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</si>
  <si>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</si>
  <si>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</si>
  <si>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</si>
  <si>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</si>
  <si>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</si>
  <si>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</si>
  <si>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</si>
  <si>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</si>
  <si>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</si>
  <si>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</si>
  <si>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</si>
  <si>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</si>
  <si>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</si>
  <si>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</si>
  <si>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</si>
  <si>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</si>
  <si>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</si>
  <si>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</si>
  <si>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</si>
  <si>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</si>
  <si>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</si>
  <si>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</si>
  <si>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</si>
  <si>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</si>
  <si>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</si>
  <si>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</si>
  <si>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</si>
  <si>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</si>
  <si>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</si>
  <si>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</si>
  <si>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</si>
  <si>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</si>
  <si>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Lopinavir</t>
  </si>
  <si>
    <t>L21-1</t>
  </si>
  <si>
    <t>Ritonavir</t>
  </si>
  <si>
    <t>R9-1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</si>
</sst>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4" fillId="2" borderId="0" xfId="0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7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17" sqref="B17:B21"/>
    </sheetView>
  </sheetViews>
  <sheetFormatPr defaultRowHeight="13.5" x14ac:dyDescent="0.25"/>
  <cols>
    <col min="1" max="1" width="27.5703125" style="227" customWidth="1"/>
    <col min="2" max="2" width="20.425781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9" t="s">
        <v>0</v>
      </c>
      <c r="B15" s="289"/>
      <c r="C15" s="289"/>
      <c r="D15" s="289"/>
      <c r="E15" s="289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7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125</v>
      </c>
      <c r="C19" s="72"/>
      <c r="D19" s="72"/>
      <c r="E19" s="72"/>
    </row>
    <row r="20" spans="1:5" ht="16.5" customHeight="1" x14ac:dyDescent="0.3">
      <c r="A20" s="8" t="s">
        <v>8</v>
      </c>
      <c r="B20" s="338">
        <v>15.26</v>
      </c>
      <c r="C20" s="72"/>
      <c r="D20" s="72"/>
      <c r="E20" s="72"/>
    </row>
    <row r="21" spans="1:5" ht="16.5" customHeight="1" x14ac:dyDescent="0.3">
      <c r="A21" s="8" t="s">
        <v>10</v>
      </c>
      <c r="B21" s="340">
        <f>15.625/25*4/100</f>
        <v>2.5000000000000001E-2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21375063</v>
      </c>
      <c r="C24" s="18">
        <v>3404</v>
      </c>
      <c r="D24" s="19">
        <v>1.01</v>
      </c>
      <c r="E24" s="20">
        <v>10.050000000000001</v>
      </c>
    </row>
    <row r="25" spans="1:5" ht="16.5" customHeight="1" x14ac:dyDescent="0.3">
      <c r="A25" s="17">
        <v>2</v>
      </c>
      <c r="B25" s="18">
        <v>21408795</v>
      </c>
      <c r="C25" s="18">
        <v>3025</v>
      </c>
      <c r="D25" s="19">
        <v>1.06</v>
      </c>
      <c r="E25" s="19">
        <v>10.02</v>
      </c>
    </row>
    <row r="26" spans="1:5" ht="16.5" customHeight="1" x14ac:dyDescent="0.3">
      <c r="A26" s="17">
        <v>3</v>
      </c>
      <c r="B26" s="18">
        <v>21427911</v>
      </c>
      <c r="C26" s="18">
        <v>2994</v>
      </c>
      <c r="D26" s="19">
        <v>1.1100000000000001</v>
      </c>
      <c r="E26" s="19">
        <v>10.02</v>
      </c>
    </row>
    <row r="27" spans="1:5" ht="16.5" customHeight="1" x14ac:dyDescent="0.3">
      <c r="A27" s="17">
        <v>4</v>
      </c>
      <c r="B27" s="18">
        <v>21404582</v>
      </c>
      <c r="C27" s="18">
        <v>3131</v>
      </c>
      <c r="D27" s="19">
        <v>1.1299999999999999</v>
      </c>
      <c r="E27" s="19">
        <v>10.02</v>
      </c>
    </row>
    <row r="28" spans="1:5" ht="16.5" customHeight="1" x14ac:dyDescent="0.3">
      <c r="A28" s="17">
        <v>5</v>
      </c>
      <c r="B28" s="18">
        <v>21391587</v>
      </c>
      <c r="C28" s="18">
        <v>3261</v>
      </c>
      <c r="D28" s="19">
        <v>1.1399999999999999</v>
      </c>
      <c r="E28" s="19">
        <v>10.029999999999999</v>
      </c>
    </row>
    <row r="29" spans="1:5" ht="16.5" customHeight="1" x14ac:dyDescent="0.3">
      <c r="A29" s="17">
        <v>6</v>
      </c>
      <c r="B29" s="21">
        <v>21368302</v>
      </c>
      <c r="C29" s="21">
        <v>3392</v>
      </c>
      <c r="D29" s="22">
        <v>1.1399999999999999</v>
      </c>
      <c r="E29" s="22">
        <v>10.01</v>
      </c>
    </row>
    <row r="30" spans="1:5" ht="16.5" customHeight="1" x14ac:dyDescent="0.3">
      <c r="A30" s="23" t="s">
        <v>18</v>
      </c>
      <c r="B30" s="24">
        <f>AVERAGE(B24:B29)</f>
        <v>21396040</v>
      </c>
      <c r="C30" s="25">
        <f>AVERAGE(C24:C29)</f>
        <v>3201.1666666666665</v>
      </c>
      <c r="D30" s="26">
        <f>AVERAGE(D24:D29)</f>
        <v>1.0983333333333334</v>
      </c>
      <c r="E30" s="26">
        <f>AVERAGE(E24:E29)</f>
        <v>10.025</v>
      </c>
    </row>
    <row r="31" spans="1:5" ht="16.5" customHeight="1" x14ac:dyDescent="0.3">
      <c r="A31" s="27" t="s">
        <v>19</v>
      </c>
      <c r="B31" s="28">
        <f>(STDEV(B24:B29)/B30)</f>
        <v>1.041038258462782E-3</v>
      </c>
      <c r="C31" s="29"/>
      <c r="D31" s="29"/>
      <c r="E31" s="30"/>
    </row>
    <row r="32" spans="1:5" s="22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27" customFormat="1" ht="15.75" customHeight="1" x14ac:dyDescent="0.25">
      <c r="A33" s="72"/>
      <c r="B33" s="72"/>
      <c r="C33" s="72"/>
      <c r="D33" s="72"/>
      <c r="E33" s="72"/>
    </row>
    <row r="34" spans="1:5" s="22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227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227" customFormat="1" ht="15.75" customHeight="1" x14ac:dyDescent="0.25">
      <c r="A54" s="72"/>
      <c r="B54" s="72"/>
      <c r="C54" s="72"/>
      <c r="D54" s="72"/>
      <c r="E54" s="72"/>
    </row>
    <row r="55" spans="1:7" s="22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150"/>
      <c r="D58" s="43"/>
      <c r="F58" s="44"/>
      <c r="G58" s="44"/>
    </row>
    <row r="59" spans="1:7" ht="15" customHeight="1" x14ac:dyDescent="0.3">
      <c r="B59" s="290" t="s">
        <v>26</v>
      </c>
      <c r="C59" s="290"/>
      <c r="E59" s="288" t="s">
        <v>27</v>
      </c>
      <c r="F59" s="46"/>
      <c r="G59" s="288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7" workbookViewId="0">
      <selection activeCell="B30" sqref="B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9" t="s">
        <v>0</v>
      </c>
      <c r="B15" s="289"/>
      <c r="C15" s="289"/>
      <c r="D15" s="289"/>
      <c r="E15" s="28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127</v>
      </c>
      <c r="C19" s="10"/>
      <c r="D19" s="10"/>
      <c r="E19" s="10"/>
    </row>
    <row r="20" spans="1:6" ht="16.5" customHeight="1" x14ac:dyDescent="0.3">
      <c r="A20" s="7" t="s">
        <v>8</v>
      </c>
      <c r="B20" s="338">
        <v>15.48</v>
      </c>
      <c r="C20" s="10"/>
      <c r="D20" s="10"/>
      <c r="E20" s="10"/>
    </row>
    <row r="21" spans="1:6" ht="16.5" customHeight="1" x14ac:dyDescent="0.3">
      <c r="A21" s="7" t="s">
        <v>10</v>
      </c>
      <c r="B21" s="339">
        <f>15.625/25*1/100</f>
        <v>6.2500000000000003E-3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4231984</v>
      </c>
      <c r="C24" s="18">
        <v>3078</v>
      </c>
      <c r="D24" s="19">
        <v>1.01</v>
      </c>
      <c r="E24" s="20">
        <v>7.57</v>
      </c>
    </row>
    <row r="25" spans="1:6" ht="16.5" customHeight="1" x14ac:dyDescent="0.3">
      <c r="A25" s="17">
        <v>2</v>
      </c>
      <c r="B25" s="18">
        <v>4206804</v>
      </c>
      <c r="C25" s="18">
        <v>2795</v>
      </c>
      <c r="D25" s="19">
        <v>1.06</v>
      </c>
      <c r="E25" s="19">
        <v>7.55</v>
      </c>
    </row>
    <row r="26" spans="1:6" ht="16.5" customHeight="1" x14ac:dyDescent="0.3">
      <c r="A26" s="17">
        <v>3</v>
      </c>
      <c r="B26" s="18">
        <v>4205931</v>
      </c>
      <c r="C26" s="18">
        <v>2747</v>
      </c>
      <c r="D26" s="19">
        <v>1.08</v>
      </c>
      <c r="E26" s="19">
        <v>7.55</v>
      </c>
    </row>
    <row r="27" spans="1:6" ht="16.5" customHeight="1" x14ac:dyDescent="0.3">
      <c r="A27" s="17">
        <v>4</v>
      </c>
      <c r="B27" s="18">
        <v>4197009</v>
      </c>
      <c r="C27" s="18">
        <v>2832</v>
      </c>
      <c r="D27" s="19">
        <v>1.1100000000000001</v>
      </c>
      <c r="E27" s="19">
        <v>7.55</v>
      </c>
    </row>
    <row r="28" spans="1:6" ht="16.5" customHeight="1" x14ac:dyDescent="0.3">
      <c r="A28" s="17">
        <v>5</v>
      </c>
      <c r="B28" s="18">
        <v>4179247</v>
      </c>
      <c r="C28" s="18">
        <v>2961</v>
      </c>
      <c r="D28" s="19">
        <v>1.1100000000000001</v>
      </c>
      <c r="E28" s="19">
        <v>7.56</v>
      </c>
    </row>
    <row r="29" spans="1:6" ht="16.5" customHeight="1" x14ac:dyDescent="0.3">
      <c r="A29" s="17">
        <v>6</v>
      </c>
      <c r="B29" s="21">
        <v>4162349</v>
      </c>
      <c r="C29" s="21">
        <v>3055</v>
      </c>
      <c r="D29" s="22">
        <v>1.1100000000000001</v>
      </c>
      <c r="E29" s="22">
        <v>7.55</v>
      </c>
    </row>
    <row r="30" spans="1:6" ht="16.5" customHeight="1" x14ac:dyDescent="0.3">
      <c r="A30" s="23" t="s">
        <v>18</v>
      </c>
      <c r="B30" s="24">
        <f>AVERAGE(B24:B29)</f>
        <v>4197220.666666667</v>
      </c>
      <c r="C30" s="25">
        <f>AVERAGE(C24:C29)</f>
        <v>2911.3333333333335</v>
      </c>
      <c r="D30" s="26">
        <f>AVERAGE(D24:D29)</f>
        <v>1.0800000000000003</v>
      </c>
      <c r="E30" s="26">
        <f>AVERAGE(E24:E29)</f>
        <v>7.5549999999999997</v>
      </c>
    </row>
    <row r="31" spans="1:6" ht="16.5" customHeight="1" x14ac:dyDescent="0.3">
      <c r="A31" s="27" t="s">
        <v>19</v>
      </c>
      <c r="B31" s="28">
        <f>(STDEV(B24:B29)/B30)</f>
        <v>5.7530356878493305E-3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0" t="s">
        <v>26</v>
      </c>
      <c r="C59" s="29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4" t="s">
        <v>31</v>
      </c>
      <c r="B11" s="295"/>
      <c r="C11" s="295"/>
      <c r="D11" s="295"/>
      <c r="E11" s="295"/>
      <c r="F11" s="296"/>
      <c r="G11" s="91"/>
    </row>
    <row r="12" spans="1:7" ht="16.5" customHeight="1" x14ac:dyDescent="0.3">
      <c r="A12" s="293" t="s">
        <v>32</v>
      </c>
      <c r="B12" s="293"/>
      <c r="C12" s="293"/>
      <c r="D12" s="293"/>
      <c r="E12" s="293"/>
      <c r="F12" s="293"/>
      <c r="G12" s="90"/>
    </row>
    <row r="14" spans="1:7" ht="16.5" customHeight="1" x14ac:dyDescent="0.3">
      <c r="A14" s="298" t="s">
        <v>33</v>
      </c>
      <c r="B14" s="298"/>
      <c r="C14" s="60" t="s">
        <v>5</v>
      </c>
    </row>
    <row r="15" spans="1:7" ht="16.5" customHeight="1" x14ac:dyDescent="0.3">
      <c r="A15" s="298" t="s">
        <v>34</v>
      </c>
      <c r="B15" s="298"/>
      <c r="C15" s="60" t="s">
        <v>7</v>
      </c>
    </row>
    <row r="16" spans="1:7" ht="16.5" customHeight="1" x14ac:dyDescent="0.3">
      <c r="A16" s="298" t="s">
        <v>35</v>
      </c>
      <c r="B16" s="298"/>
      <c r="C16" s="60" t="s">
        <v>9</v>
      </c>
    </row>
    <row r="17" spans="1:5" ht="16.5" customHeight="1" x14ac:dyDescent="0.3">
      <c r="A17" s="298" t="s">
        <v>36</v>
      </c>
      <c r="B17" s="298"/>
      <c r="C17" s="60" t="s">
        <v>11</v>
      </c>
    </row>
    <row r="18" spans="1:5" ht="16.5" customHeight="1" x14ac:dyDescent="0.3">
      <c r="A18" s="298" t="s">
        <v>37</v>
      </c>
      <c r="B18" s="298"/>
      <c r="C18" s="97" t="s">
        <v>12</v>
      </c>
    </row>
    <row r="19" spans="1:5" ht="16.5" customHeight="1" x14ac:dyDescent="0.3">
      <c r="A19" s="298" t="s">
        <v>38</v>
      </c>
      <c r="B19" s="29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3" t="s">
        <v>1</v>
      </c>
      <c r="B21" s="293"/>
      <c r="C21" s="59" t="s">
        <v>39</v>
      </c>
      <c r="D21" s="66"/>
    </row>
    <row r="22" spans="1:5" ht="15.75" customHeight="1" x14ac:dyDescent="0.3">
      <c r="A22" s="297"/>
      <c r="B22" s="297"/>
      <c r="C22" s="57"/>
      <c r="D22" s="297"/>
      <c r="E22" s="29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1240.23</v>
      </c>
      <c r="D24" s="87">
        <f t="shared" ref="D24:D43" si="0">(C24-$C$46)/$C$46</f>
        <v>-4.694323275521009E-3</v>
      </c>
      <c r="E24" s="53"/>
    </row>
    <row r="25" spans="1:5" ht="15.75" customHeight="1" x14ac:dyDescent="0.3">
      <c r="C25" s="95">
        <v>1245.77</v>
      </c>
      <c r="D25" s="88">
        <f t="shared" si="0"/>
        <v>-2.483790159453039E-4</v>
      </c>
      <c r="E25" s="53"/>
    </row>
    <row r="26" spans="1:5" ht="15.75" customHeight="1" x14ac:dyDescent="0.3">
      <c r="C26" s="95">
        <v>1245.5899999999999</v>
      </c>
      <c r="D26" s="88">
        <f t="shared" si="0"/>
        <v>-3.9283207853084819E-4</v>
      </c>
      <c r="E26" s="53"/>
    </row>
    <row r="27" spans="1:5" ht="15.75" customHeight="1" x14ac:dyDescent="0.3">
      <c r="C27" s="95">
        <v>1246.75</v>
      </c>
      <c r="D27" s="88">
        <f t="shared" si="0"/>
        <v>5.3808765813128474E-4</v>
      </c>
      <c r="E27" s="53"/>
    </row>
    <row r="28" spans="1:5" ht="15.75" customHeight="1" x14ac:dyDescent="0.3">
      <c r="C28" s="95">
        <v>1244.8800000000001</v>
      </c>
      <c r="D28" s="88">
        <f t="shared" si="0"/>
        <v>-9.6261915872902911E-4</v>
      </c>
      <c r="E28" s="53"/>
    </row>
    <row r="29" spans="1:5" ht="15.75" customHeight="1" x14ac:dyDescent="0.3">
      <c r="C29" s="95">
        <v>1241.22</v>
      </c>
      <c r="D29" s="88">
        <f t="shared" si="0"/>
        <v>-3.8998314313007897E-3</v>
      </c>
      <c r="E29" s="53"/>
    </row>
    <row r="30" spans="1:5" ht="15.75" customHeight="1" x14ac:dyDescent="0.3">
      <c r="C30" s="95">
        <v>1246.79</v>
      </c>
      <c r="D30" s="88">
        <f t="shared" si="0"/>
        <v>5.7018833870580961E-4</v>
      </c>
      <c r="E30" s="53"/>
    </row>
    <row r="31" spans="1:5" ht="15.75" customHeight="1" x14ac:dyDescent="0.3">
      <c r="C31" s="95">
        <v>1248.3</v>
      </c>
      <c r="D31" s="88">
        <f t="shared" si="0"/>
        <v>1.7819890303952173E-3</v>
      </c>
      <c r="E31" s="53"/>
    </row>
    <row r="32" spans="1:5" ht="15.75" customHeight="1" x14ac:dyDescent="0.3">
      <c r="C32" s="95">
        <v>1241.56</v>
      </c>
      <c r="D32" s="88">
        <f t="shared" si="0"/>
        <v>-3.6269756464171461E-3</v>
      </c>
      <c r="E32" s="53"/>
    </row>
    <row r="33" spans="1:7" ht="15.75" customHeight="1" x14ac:dyDescent="0.3">
      <c r="C33" s="95">
        <v>1253.58</v>
      </c>
      <c r="D33" s="88">
        <f t="shared" si="0"/>
        <v>6.0192788662363286E-3</v>
      </c>
      <c r="E33" s="53"/>
    </row>
    <row r="34" spans="1:7" ht="15.75" customHeight="1" x14ac:dyDescent="0.3">
      <c r="C34" s="95">
        <v>1246.7</v>
      </c>
      <c r="D34" s="88">
        <f t="shared" si="0"/>
        <v>4.9796180741312865E-4</v>
      </c>
      <c r="E34" s="53"/>
    </row>
    <row r="35" spans="1:7" ht="15.75" customHeight="1" x14ac:dyDescent="0.3">
      <c r="C35" s="95">
        <v>1236.72</v>
      </c>
      <c r="D35" s="88">
        <f t="shared" si="0"/>
        <v>-7.5111579959381194E-3</v>
      </c>
      <c r="E35" s="53"/>
    </row>
    <row r="36" spans="1:7" ht="15.75" customHeight="1" x14ac:dyDescent="0.3">
      <c r="C36" s="95">
        <v>1241.68</v>
      </c>
      <c r="D36" s="88">
        <f t="shared" si="0"/>
        <v>-3.5306736046933889E-3</v>
      </c>
      <c r="E36" s="53"/>
    </row>
    <row r="37" spans="1:7" ht="15.75" customHeight="1" x14ac:dyDescent="0.3">
      <c r="C37" s="95">
        <v>1248.18</v>
      </c>
      <c r="D37" s="88">
        <f t="shared" si="0"/>
        <v>1.6856869886716429E-3</v>
      </c>
      <c r="E37" s="53"/>
    </row>
    <row r="38" spans="1:7" ht="15.75" customHeight="1" x14ac:dyDescent="0.3">
      <c r="C38" s="95">
        <v>1228.51</v>
      </c>
      <c r="D38" s="88">
        <f t="shared" si="0"/>
        <v>-1.4099822683865365E-2</v>
      </c>
      <c r="E38" s="53"/>
    </row>
    <row r="39" spans="1:7" ht="15.75" customHeight="1" x14ac:dyDescent="0.3">
      <c r="C39" s="95">
        <v>1258.08</v>
      </c>
      <c r="D39" s="88">
        <f t="shared" si="0"/>
        <v>9.6306054308736583E-3</v>
      </c>
      <c r="E39" s="53"/>
    </row>
    <row r="40" spans="1:7" ht="15.75" customHeight="1" x14ac:dyDescent="0.3">
      <c r="C40" s="95">
        <v>1244.8599999999999</v>
      </c>
      <c r="D40" s="88">
        <f t="shared" si="0"/>
        <v>-9.7866949901647413E-4</v>
      </c>
      <c r="E40" s="53"/>
    </row>
    <row r="41" spans="1:7" ht="15.75" customHeight="1" x14ac:dyDescent="0.3">
      <c r="C41" s="95">
        <v>1247.1600000000001</v>
      </c>
      <c r="D41" s="88">
        <f t="shared" si="0"/>
        <v>8.671196340205294E-4</v>
      </c>
      <c r="E41" s="53"/>
    </row>
    <row r="42" spans="1:7" ht="15.75" customHeight="1" x14ac:dyDescent="0.3">
      <c r="C42" s="95">
        <v>1244.3399999999999</v>
      </c>
      <c r="D42" s="88">
        <f t="shared" si="0"/>
        <v>-1.395978346485662E-3</v>
      </c>
      <c r="E42" s="53"/>
    </row>
    <row r="43" spans="1:7" ht="16.5" customHeight="1" x14ac:dyDescent="0.3">
      <c r="C43" s="96">
        <v>1270.69</v>
      </c>
      <c r="D43" s="89">
        <f t="shared" si="0"/>
        <v>1.9750344982001924E-2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24921.589999999993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1246.0794999999996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1">
        <f>C46</f>
        <v>1246.0794999999996</v>
      </c>
      <c r="C49" s="93">
        <f>-IF(C46&lt;=80,10%,IF(C46&lt;250,7.5%,5%))</f>
        <v>-0.05</v>
      </c>
      <c r="D49" s="81">
        <f>IF(C46&lt;=80,C46*0.9,IF(C46&lt;250,C46*0.925,C46*0.95))</f>
        <v>1183.7755249999996</v>
      </c>
    </row>
    <row r="50" spans="1:6" ht="17.25" customHeight="1" x14ac:dyDescent="0.3">
      <c r="B50" s="292"/>
      <c r="C50" s="94">
        <f>IF(C46&lt;=80, 10%, IF(C46&lt;250, 7.5%, 5%))</f>
        <v>0.05</v>
      </c>
      <c r="D50" s="81">
        <f>IF(C46&lt;=80, C46*1.1, IF(C46&lt;250, C46*1.075, C46*1.05))</f>
        <v>1308.3834749999996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B49" zoomScale="55" zoomScaleNormal="40" zoomScalePageLayoutView="55" workbookViewId="0">
      <selection activeCell="K93" sqref="K9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9" t="s">
        <v>45</v>
      </c>
      <c r="B1" s="299"/>
      <c r="C1" s="299"/>
      <c r="D1" s="299"/>
      <c r="E1" s="299"/>
      <c r="F1" s="299"/>
      <c r="G1" s="299"/>
      <c r="H1" s="299"/>
      <c r="I1" s="299"/>
    </row>
    <row r="2" spans="1:9" ht="18.75" customHeight="1" x14ac:dyDescent="0.25">
      <c r="A2" s="299"/>
      <c r="B2" s="299"/>
      <c r="C2" s="299"/>
      <c r="D2" s="299"/>
      <c r="E2" s="299"/>
      <c r="F2" s="299"/>
      <c r="G2" s="299"/>
      <c r="H2" s="299"/>
      <c r="I2" s="299"/>
    </row>
    <row r="3" spans="1:9" ht="18.75" customHeight="1" x14ac:dyDescent="0.25">
      <c r="A3" s="299"/>
      <c r="B3" s="299"/>
      <c r="C3" s="299"/>
      <c r="D3" s="299"/>
      <c r="E3" s="299"/>
      <c r="F3" s="299"/>
      <c r="G3" s="299"/>
      <c r="H3" s="299"/>
      <c r="I3" s="299"/>
    </row>
    <row r="4" spans="1:9" ht="18.75" customHeight="1" x14ac:dyDescent="0.25">
      <c r="A4" s="299"/>
      <c r="B4" s="299"/>
      <c r="C4" s="299"/>
      <c r="D4" s="299"/>
      <c r="E4" s="299"/>
      <c r="F4" s="299"/>
      <c r="G4" s="299"/>
      <c r="H4" s="299"/>
      <c r="I4" s="299"/>
    </row>
    <row r="5" spans="1:9" ht="18.75" customHeight="1" x14ac:dyDescent="0.25">
      <c r="A5" s="299"/>
      <c r="B5" s="299"/>
      <c r="C5" s="299"/>
      <c r="D5" s="299"/>
      <c r="E5" s="299"/>
      <c r="F5" s="299"/>
      <c r="G5" s="299"/>
      <c r="H5" s="299"/>
      <c r="I5" s="299"/>
    </row>
    <row r="6" spans="1:9" ht="18.75" customHeight="1" x14ac:dyDescent="0.25">
      <c r="A6" s="299"/>
      <c r="B6" s="299"/>
      <c r="C6" s="299"/>
      <c r="D6" s="299"/>
      <c r="E6" s="299"/>
      <c r="F6" s="299"/>
      <c r="G6" s="299"/>
      <c r="H6" s="299"/>
      <c r="I6" s="299"/>
    </row>
    <row r="7" spans="1:9" ht="18.75" customHeight="1" x14ac:dyDescent="0.25">
      <c r="A7" s="299"/>
      <c r="B7" s="299"/>
      <c r="C7" s="299"/>
      <c r="D7" s="299"/>
      <c r="E7" s="299"/>
      <c r="F7" s="299"/>
      <c r="G7" s="299"/>
      <c r="H7" s="299"/>
      <c r="I7" s="299"/>
    </row>
    <row r="8" spans="1:9" x14ac:dyDescent="0.25">
      <c r="A8" s="300" t="s">
        <v>46</v>
      </c>
      <c r="B8" s="300"/>
      <c r="C8" s="300"/>
      <c r="D8" s="300"/>
      <c r="E8" s="300"/>
      <c r="F8" s="300"/>
      <c r="G8" s="300"/>
      <c r="H8" s="300"/>
      <c r="I8" s="300"/>
    </row>
    <row r="9" spans="1:9" x14ac:dyDescent="0.25">
      <c r="A9" s="300"/>
      <c r="B9" s="300"/>
      <c r="C9" s="300"/>
      <c r="D9" s="300"/>
      <c r="E9" s="300"/>
      <c r="F9" s="300"/>
      <c r="G9" s="300"/>
      <c r="H9" s="300"/>
      <c r="I9" s="300"/>
    </row>
    <row r="10" spans="1:9" x14ac:dyDescent="0.25">
      <c r="A10" s="300"/>
      <c r="B10" s="300"/>
      <c r="C10" s="300"/>
      <c r="D10" s="300"/>
      <c r="E10" s="300"/>
      <c r="F10" s="300"/>
      <c r="G10" s="300"/>
      <c r="H10" s="300"/>
      <c r="I10" s="300"/>
    </row>
    <row r="11" spans="1:9" x14ac:dyDescent="0.25">
      <c r="A11" s="300"/>
      <c r="B11" s="300"/>
      <c r="C11" s="300"/>
      <c r="D11" s="300"/>
      <c r="E11" s="300"/>
      <c r="F11" s="300"/>
      <c r="G11" s="300"/>
      <c r="H11" s="300"/>
      <c r="I11" s="300"/>
    </row>
    <row r="12" spans="1:9" x14ac:dyDescent="0.25">
      <c r="A12" s="300"/>
      <c r="B12" s="300"/>
      <c r="C12" s="300"/>
      <c r="D12" s="300"/>
      <c r="E12" s="300"/>
      <c r="F12" s="300"/>
      <c r="G12" s="300"/>
      <c r="H12" s="300"/>
      <c r="I12" s="300"/>
    </row>
    <row r="13" spans="1:9" x14ac:dyDescent="0.25">
      <c r="A13" s="300"/>
      <c r="B13" s="300"/>
      <c r="C13" s="300"/>
      <c r="D13" s="300"/>
      <c r="E13" s="300"/>
      <c r="F13" s="300"/>
      <c r="G13" s="300"/>
      <c r="H13" s="300"/>
      <c r="I13" s="300"/>
    </row>
    <row r="14" spans="1:9" x14ac:dyDescent="0.25">
      <c r="A14" s="300"/>
      <c r="B14" s="300"/>
      <c r="C14" s="300"/>
      <c r="D14" s="300"/>
      <c r="E14" s="300"/>
      <c r="F14" s="300"/>
      <c r="G14" s="300"/>
      <c r="H14" s="300"/>
      <c r="I14" s="300"/>
    </row>
    <row r="15" spans="1:9" ht="19.5" customHeight="1" x14ac:dyDescent="0.3">
      <c r="A15" s="98"/>
    </row>
    <row r="16" spans="1:9" ht="19.5" customHeight="1" x14ac:dyDescent="0.3">
      <c r="A16" s="333" t="s">
        <v>31</v>
      </c>
      <c r="B16" s="334"/>
      <c r="C16" s="334"/>
      <c r="D16" s="334"/>
      <c r="E16" s="334"/>
      <c r="F16" s="334"/>
      <c r="G16" s="334"/>
      <c r="H16" s="335"/>
    </row>
    <row r="17" spans="1:14" ht="20.25" customHeight="1" x14ac:dyDescent="0.25">
      <c r="A17" s="336" t="s">
        <v>47</v>
      </c>
      <c r="B17" s="336"/>
      <c r="C17" s="336"/>
      <c r="D17" s="336"/>
      <c r="E17" s="336"/>
      <c r="F17" s="336"/>
      <c r="G17" s="336"/>
      <c r="H17" s="336"/>
    </row>
    <row r="18" spans="1:14" ht="26.25" customHeight="1" x14ac:dyDescent="0.4">
      <c r="A18" s="100" t="s">
        <v>33</v>
      </c>
      <c r="B18" s="332" t="s">
        <v>5</v>
      </c>
      <c r="C18" s="332"/>
      <c r="D18" s="27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2">
        <v>21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7" t="s">
        <v>9</v>
      </c>
      <c r="C20" s="33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7" t="s">
        <v>11</v>
      </c>
      <c r="C21" s="337"/>
      <c r="D21" s="337"/>
      <c r="E21" s="337"/>
      <c r="F21" s="337"/>
      <c r="G21" s="337"/>
      <c r="H21" s="337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32" t="s">
        <v>125</v>
      </c>
      <c r="C26" s="332"/>
    </row>
    <row r="27" spans="1:14" ht="26.25" customHeight="1" x14ac:dyDescent="0.4">
      <c r="A27" s="109" t="s">
        <v>48</v>
      </c>
      <c r="B27" s="330" t="s">
        <v>126</v>
      </c>
      <c r="C27" s="330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/>
      <c r="C29" s="307" t="s">
        <v>50</v>
      </c>
      <c r="D29" s="308"/>
      <c r="E29" s="308"/>
      <c r="F29" s="308"/>
      <c r="G29" s="309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v>0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10" t="s">
        <v>53</v>
      </c>
      <c r="D31" s="311"/>
      <c r="E31" s="311"/>
      <c r="F31" s="311"/>
      <c r="G31" s="311"/>
      <c r="H31" s="312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10" t="s">
        <v>55</v>
      </c>
      <c r="D32" s="311"/>
      <c r="E32" s="311"/>
      <c r="F32" s="311"/>
      <c r="G32" s="311"/>
      <c r="H32" s="31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13" t="s">
        <v>59</v>
      </c>
      <c r="E36" s="331"/>
      <c r="F36" s="313" t="s">
        <v>60</v>
      </c>
      <c r="G36" s="31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21409685</v>
      </c>
      <c r="E38" s="133">
        <f>IF(ISBLANK(D38),"-",$D$48/$D$45*D38)</f>
        <v>21877934.172264088</v>
      </c>
      <c r="F38" s="132">
        <v>22875996</v>
      </c>
      <c r="G38" s="134">
        <f>IF(ISBLANK(F38),"-",$D$48/$F$45*F38)</f>
        <v>21804557.617665038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21422257</v>
      </c>
      <c r="E39" s="138">
        <f>IF(ISBLANK(D39),"-",$D$48/$D$45*D39)</f>
        <v>21890781.133273263</v>
      </c>
      <c r="F39" s="137">
        <v>22860012</v>
      </c>
      <c r="G39" s="139">
        <f>IF(ISBLANK(F39),"-",$D$48/$F$45*F39)</f>
        <v>21789322.25702934</v>
      </c>
      <c r="I39" s="315">
        <f>ABS((F43/D43*D42)-F42)/D42</f>
        <v>3.1705464969889498E-3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21296853</v>
      </c>
      <c r="E40" s="138">
        <f>IF(ISBLANK(D40),"-",$D$48/$D$45*D40)</f>
        <v>21762634.434387285</v>
      </c>
      <c r="F40" s="137">
        <v>22812116</v>
      </c>
      <c r="G40" s="139">
        <f>IF(ISBLANK(F40),"-",$D$48/$F$45*F40)</f>
        <v>21743669.552261613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21376265</v>
      </c>
      <c r="E42" s="148">
        <f>AVERAGE(E38:E41)</f>
        <v>21843783.246641546</v>
      </c>
      <c r="F42" s="147">
        <f>AVERAGE(F38:F41)</f>
        <v>22849374.666666668</v>
      </c>
      <c r="G42" s="149">
        <f>AVERAGE(G38:G41)</f>
        <v>21779183.142318662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15.26</v>
      </c>
      <c r="E43" s="140"/>
      <c r="F43" s="152">
        <v>16.36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15.26</v>
      </c>
      <c r="E44" s="155"/>
      <c r="F44" s="154">
        <f>F43*$B$34</f>
        <v>16.36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625</v>
      </c>
      <c r="C45" s="153" t="s">
        <v>77</v>
      </c>
      <c r="D45" s="157">
        <f>D43*100/B28</f>
        <v>15.290581162324649</v>
      </c>
      <c r="E45" s="158"/>
      <c r="F45" s="157">
        <f>F43*100/B28</f>
        <v>16.392785571142284</v>
      </c>
      <c r="H45" s="150"/>
    </row>
    <row r="46" spans="1:14" ht="19.5" customHeight="1" x14ac:dyDescent="0.3">
      <c r="A46" s="301" t="s">
        <v>78</v>
      </c>
      <c r="B46" s="302"/>
      <c r="C46" s="153" t="s">
        <v>79</v>
      </c>
      <c r="D46" s="159">
        <f>D45/$B$45</f>
        <v>2.4464929859719438E-2</v>
      </c>
      <c r="E46" s="160"/>
      <c r="F46" s="161">
        <f>F45/$B$45</f>
        <v>2.6228456913827653E-2</v>
      </c>
      <c r="H46" s="150"/>
    </row>
    <row r="47" spans="1:14" ht="27" customHeight="1" x14ac:dyDescent="0.4">
      <c r="A47" s="303"/>
      <c r="B47" s="304"/>
      <c r="C47" s="162" t="s">
        <v>80</v>
      </c>
      <c r="D47" s="163">
        <v>2.5000000000000001E-2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15.625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15.625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21811483.194480106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2.7682009554129442E-3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 Lopinavir 200 mg, Ritonavir 50 mg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 xml:space="preserve">Lopinavir/ Ritonavir </v>
      </c>
      <c r="H56" s="179"/>
    </row>
    <row r="57" spans="1:12" ht="18.75" x14ac:dyDescent="0.3">
      <c r="A57" s="176" t="s">
        <v>88</v>
      </c>
      <c r="B57" s="271">
        <f>Uniformity!C46</f>
        <v>1246.0794999999996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18" t="s">
        <v>94</v>
      </c>
      <c r="D60" s="321">
        <v>6244.62</v>
      </c>
      <c r="E60" s="182">
        <v>1</v>
      </c>
      <c r="F60" s="183">
        <v>23503593</v>
      </c>
      <c r="G60" s="273">
        <f>IF(ISBLANK(F60),"-",(F60/$D$50*$D$47*$B$68)*($B$57/$D$60))</f>
        <v>209.98527343335005</v>
      </c>
      <c r="H60" s="184">
        <f>IF(ISBLANK(F60),"-",G60/$B$56)</f>
        <v>1.0499263671667503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9"/>
      <c r="D61" s="322"/>
      <c r="E61" s="185">
        <v>2</v>
      </c>
      <c r="F61" s="137">
        <v>23464666</v>
      </c>
      <c r="G61" s="274">
        <f>IF(ISBLANK(F61),"-",(F61/$D$50*$D$47*$B$68)*($B$57/$D$60))</f>
        <v>209.63749270301918</v>
      </c>
      <c r="H61" s="186">
        <f t="shared" ref="H61:H70" si="0">IF(ISBLANK(F61),"-",G61/$B$56)</f>
        <v>1.0481874635150958</v>
      </c>
      <c r="L61" s="112"/>
    </row>
    <row r="62" spans="1:12" s="14" customFormat="1" ht="26.25" customHeight="1" x14ac:dyDescent="0.4">
      <c r="A62" s="124" t="s">
        <v>96</v>
      </c>
      <c r="B62" s="125">
        <v>4</v>
      </c>
      <c r="C62" s="319"/>
      <c r="D62" s="322"/>
      <c r="E62" s="185">
        <v>3</v>
      </c>
      <c r="F62" s="187">
        <v>23419470</v>
      </c>
      <c r="G62" s="274">
        <f>IF(ISBLANK(F62),"-",(F62/$D$50*$D$47*$B$68)*($B$57/$D$60))</f>
        <v>209.23370361349171</v>
      </c>
      <c r="H62" s="186">
        <f t="shared" si="0"/>
        <v>1.0461685180674585</v>
      </c>
      <c r="L62" s="112"/>
    </row>
    <row r="63" spans="1:12" ht="27" customHeight="1" x14ac:dyDescent="0.4">
      <c r="A63" s="124" t="s">
        <v>97</v>
      </c>
      <c r="B63" s="125">
        <v>50</v>
      </c>
      <c r="C63" s="329"/>
      <c r="D63" s="323"/>
      <c r="E63" s="188">
        <v>4</v>
      </c>
      <c r="F63" s="189"/>
      <c r="G63" s="274"/>
      <c r="H63" s="186"/>
    </row>
    <row r="64" spans="1:12" ht="26.25" customHeight="1" x14ac:dyDescent="0.4">
      <c r="A64" s="124" t="s">
        <v>98</v>
      </c>
      <c r="B64" s="125">
        <v>1</v>
      </c>
      <c r="C64" s="318" t="s">
        <v>99</v>
      </c>
      <c r="D64" s="321">
        <v>6263.98</v>
      </c>
      <c r="E64" s="182">
        <v>1</v>
      </c>
      <c r="F64" s="183">
        <v>24272589</v>
      </c>
      <c r="G64" s="275">
        <f>IF(ISBLANK(F64),"-",(F64/$D$50*$D$47*$B$68)*($B$57/$D$64))</f>
        <v>216.18538745665069</v>
      </c>
      <c r="H64" s="190">
        <f t="shared" si="0"/>
        <v>1.0809269372832535</v>
      </c>
    </row>
    <row r="65" spans="1:8" ht="26.25" customHeight="1" x14ac:dyDescent="0.4">
      <c r="A65" s="124" t="s">
        <v>100</v>
      </c>
      <c r="B65" s="125">
        <v>1</v>
      </c>
      <c r="C65" s="319"/>
      <c r="D65" s="322"/>
      <c r="E65" s="185">
        <v>2</v>
      </c>
      <c r="F65" s="137">
        <v>24268719</v>
      </c>
      <c r="G65" s="276">
        <f>IF(ISBLANK(F65),"-",(F65/$D$50*$D$47*$B$68)*($B$57/$D$64))</f>
        <v>216.15091905076875</v>
      </c>
      <c r="H65" s="191">
        <f t="shared" si="0"/>
        <v>1.0807545952538438</v>
      </c>
    </row>
    <row r="66" spans="1:8" ht="26.25" customHeight="1" x14ac:dyDescent="0.4">
      <c r="A66" s="124" t="s">
        <v>101</v>
      </c>
      <c r="B66" s="125">
        <v>1</v>
      </c>
      <c r="C66" s="319"/>
      <c r="D66" s="322"/>
      <c r="E66" s="185">
        <v>3</v>
      </c>
      <c r="F66" s="137">
        <v>24283834</v>
      </c>
      <c r="G66" s="276">
        <f>IF(ISBLANK(F66),"-",(F66/$D$50*$D$47*$B$68)*($B$57/$D$64))</f>
        <v>216.28554177813444</v>
      </c>
      <c r="H66" s="191">
        <f t="shared" si="0"/>
        <v>1.0814277088906723</v>
      </c>
    </row>
    <row r="67" spans="1:8" ht="27" customHeight="1" x14ac:dyDescent="0.4">
      <c r="A67" s="124" t="s">
        <v>102</v>
      </c>
      <c r="B67" s="125">
        <v>1</v>
      </c>
      <c r="C67" s="329"/>
      <c r="D67" s="323"/>
      <c r="E67" s="188">
        <v>4</v>
      </c>
      <c r="F67" s="189"/>
      <c r="G67" s="277"/>
      <c r="H67" s="192"/>
    </row>
    <row r="68" spans="1:8" ht="26.25" customHeight="1" x14ac:dyDescent="0.4">
      <c r="A68" s="124" t="s">
        <v>103</v>
      </c>
      <c r="B68" s="193">
        <f>(B67/B66)*(B65/B64)*(B63/B62)*(B61/B60)*B59</f>
        <v>39062.5</v>
      </c>
      <c r="C68" s="318" t="s">
        <v>104</v>
      </c>
      <c r="D68" s="321">
        <v>6253.1</v>
      </c>
      <c r="E68" s="182">
        <v>1</v>
      </c>
      <c r="F68" s="183">
        <v>24463211</v>
      </c>
      <c r="G68" s="275">
        <f>IF(ISBLANK(F68),"-",(F68/$D$50*$D$47*$B$68)*($B$57/$D$68))</f>
        <v>218.26227765253137</v>
      </c>
      <c r="H68" s="186">
        <f t="shared" si="0"/>
        <v>1.0913113882626568</v>
      </c>
    </row>
    <row r="69" spans="1:8" ht="27" customHeight="1" x14ac:dyDescent="0.4">
      <c r="A69" s="172" t="s">
        <v>105</v>
      </c>
      <c r="B69" s="194">
        <f>(D47*B68)/B56*B57</f>
        <v>6084.3725585937482</v>
      </c>
      <c r="C69" s="319"/>
      <c r="D69" s="322"/>
      <c r="E69" s="185">
        <v>2</v>
      </c>
      <c r="F69" s="137">
        <v>24516019</v>
      </c>
      <c r="G69" s="276">
        <f>IF(ISBLANK(F69),"-",(F69/$D$50*$D$47*$B$68)*($B$57/$D$68))</f>
        <v>218.73343388620304</v>
      </c>
      <c r="H69" s="186">
        <f t="shared" si="0"/>
        <v>1.0936671694310152</v>
      </c>
    </row>
    <row r="70" spans="1:8" ht="26.25" customHeight="1" x14ac:dyDescent="0.4">
      <c r="A70" s="324" t="s">
        <v>78</v>
      </c>
      <c r="B70" s="325"/>
      <c r="C70" s="319"/>
      <c r="D70" s="322"/>
      <c r="E70" s="185">
        <v>3</v>
      </c>
      <c r="F70" s="137">
        <v>24516539</v>
      </c>
      <c r="G70" s="276">
        <f>IF(ISBLANK(F70),"-",(F70/$D$50*$D$47*$B$68)*($B$57/$D$68))</f>
        <v>218.7380733582813</v>
      </c>
      <c r="H70" s="186">
        <f t="shared" si="0"/>
        <v>1.0936903667914064</v>
      </c>
    </row>
    <row r="71" spans="1:8" ht="27" customHeight="1" x14ac:dyDescent="0.4">
      <c r="A71" s="326"/>
      <c r="B71" s="327"/>
      <c r="C71" s="320"/>
      <c r="D71" s="323"/>
      <c r="E71" s="188">
        <v>4</v>
      </c>
      <c r="F71" s="189"/>
      <c r="G71" s="277"/>
      <c r="H71" s="195"/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1.0740067238513502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8">
        <f>STDEV(H60:H71)/H72</f>
        <v>1.874767671753471E-2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05" t="str">
        <f>B20</f>
        <v xml:space="preserve">Lopinavir/ Ritonavir </v>
      </c>
      <c r="D76" s="305"/>
      <c r="E76" s="205" t="s">
        <v>108</v>
      </c>
      <c r="F76" s="205"/>
      <c r="G76" s="206">
        <f>H72</f>
        <v>1.0740067238513502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8" t="str">
        <f>B26</f>
        <v>Lopinavir</v>
      </c>
      <c r="C79" s="328"/>
    </row>
    <row r="80" spans="1:8" ht="26.25" customHeight="1" x14ac:dyDescent="0.4">
      <c r="A80" s="109" t="s">
        <v>48</v>
      </c>
      <c r="B80" s="328" t="str">
        <f>B27</f>
        <v>L21-1</v>
      </c>
      <c r="C80" s="328"/>
    </row>
    <row r="81" spans="1:12" ht="27" customHeight="1" x14ac:dyDescent="0.4">
      <c r="A81" s="109" t="s">
        <v>6</v>
      </c>
      <c r="B81" s="208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307" t="s">
        <v>50</v>
      </c>
      <c r="D82" s="308"/>
      <c r="E82" s="308"/>
      <c r="F82" s="308"/>
      <c r="G82" s="309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10" t="s">
        <v>111</v>
      </c>
      <c r="D84" s="311"/>
      <c r="E84" s="311"/>
      <c r="F84" s="311"/>
      <c r="G84" s="311"/>
      <c r="H84" s="312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10" t="s">
        <v>112</v>
      </c>
      <c r="D85" s="311"/>
      <c r="E85" s="311"/>
      <c r="F85" s="311"/>
      <c r="G85" s="311"/>
      <c r="H85" s="31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13" t="s">
        <v>60</v>
      </c>
      <c r="G89" s="314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200</v>
      </c>
      <c r="C91" s="213">
        <v>1</v>
      </c>
      <c r="D91" s="132">
        <v>52522362</v>
      </c>
      <c r="E91" s="133">
        <f>IF(ISBLANK(D91),"-",$D$101/$D$98*D91)</f>
        <v>58195790.466282874</v>
      </c>
      <c r="F91" s="132">
        <v>53289728</v>
      </c>
      <c r="G91" s="134">
        <f>IF(ISBLANK(F91),"-",$D$101/$F$98*F91)</f>
        <v>57534394.709598497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52553125</v>
      </c>
      <c r="E92" s="138">
        <f>IF(ISBLANK(D92),"-",$D$101/$D$98*D92)</f>
        <v>58229876.46382644</v>
      </c>
      <c r="F92" s="137">
        <v>53121237</v>
      </c>
      <c r="G92" s="139">
        <f>IF(ISBLANK(F92),"-",$D$101/$F$98*F92)</f>
        <v>57352482.959194839</v>
      </c>
      <c r="I92" s="315">
        <f>ABS((F96/D96*D95)-F95)/D95</f>
        <v>9.1663928758481394E-3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52565096</v>
      </c>
      <c r="E93" s="138">
        <f>IF(ISBLANK(D93),"-",$D$101/$D$98*D93)</f>
        <v>58243140.562795788</v>
      </c>
      <c r="F93" s="137">
        <v>54057613</v>
      </c>
      <c r="G93" s="139">
        <f>IF(ISBLANK(F93),"-",$D$101/$F$98*F93)</f>
        <v>58363443.765386134</v>
      </c>
      <c r="I93" s="315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>
        <v>52522362</v>
      </c>
      <c r="E94" s="143">
        <f>IF(ISBLANK(D94),"-",$D$101/$D$98*D94)</f>
        <v>58195790.466282874</v>
      </c>
      <c r="F94" s="215">
        <v>53289728</v>
      </c>
      <c r="G94" s="144">
        <f>IF(ISBLANK(F94),"-",$D$101/$F$98*F94)</f>
        <v>57534394.709598497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52540736.25</v>
      </c>
      <c r="E95" s="148">
        <f>AVERAGE(E91:E94)</f>
        <v>58216149.489796996</v>
      </c>
      <c r="F95" s="218">
        <f>AVERAGE(F91:F94)</f>
        <v>53439576.5</v>
      </c>
      <c r="G95" s="219">
        <f>AVERAGE(G91:G94)</f>
        <v>57696179.035944492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25.12</v>
      </c>
      <c r="E96" s="140"/>
      <c r="F96" s="152">
        <v>25.78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25.12</v>
      </c>
      <c r="E97" s="155"/>
      <c r="F97" s="154">
        <f>F96*$B$87</f>
        <v>25.78</v>
      </c>
    </row>
    <row r="98" spans="1:10" ht="19.5" customHeight="1" x14ac:dyDescent="0.3">
      <c r="A98" s="124" t="s">
        <v>76</v>
      </c>
      <c r="B98" s="224">
        <f>(B97/B96)*(B95/B94)*(B93/B92)*(B91/B90)*B89</f>
        <v>1250</v>
      </c>
      <c r="C98" s="222" t="s">
        <v>115</v>
      </c>
      <c r="D98" s="225">
        <f>D97*$B$83/100</f>
        <v>25.069760000000002</v>
      </c>
      <c r="E98" s="158"/>
      <c r="F98" s="157">
        <f>F97*$B$83/100</f>
        <v>25.728439999999999</v>
      </c>
    </row>
    <row r="99" spans="1:10" ht="19.5" customHeight="1" x14ac:dyDescent="0.3">
      <c r="A99" s="301" t="s">
        <v>78</v>
      </c>
      <c r="B99" s="316"/>
      <c r="C99" s="222" t="s">
        <v>116</v>
      </c>
      <c r="D99" s="226">
        <f>D98/$B$98</f>
        <v>2.0055808000000001E-2</v>
      </c>
      <c r="E99" s="158"/>
      <c r="F99" s="161">
        <f>F98/$B$98</f>
        <v>2.0582751999999999E-2</v>
      </c>
      <c r="G99" s="227"/>
      <c r="H99" s="150"/>
    </row>
    <row r="100" spans="1:10" ht="19.5" customHeight="1" x14ac:dyDescent="0.3">
      <c r="A100" s="303"/>
      <c r="B100" s="317"/>
      <c r="C100" s="222" t="s">
        <v>80</v>
      </c>
      <c r="D100" s="228">
        <f>$B$56/$B$116</f>
        <v>2.2222222222222223E-2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27.777777777777779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27.777777777777779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57956164.262870736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7.0184870796216976E-3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8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244">
        <v>87619284</v>
      </c>
      <c r="E108" s="279">
        <f t="shared" ref="E108:E113" si="1">IF(ISBLANK(D108),"-",D108/$D$103*$D$100*$B$116)</f>
        <v>302.36398531340615</v>
      </c>
      <c r="F108" s="245">
        <f t="shared" ref="F108:F113" si="2">IF(ISBLANK(D108), "-", E108/$B$56)</f>
        <v>1.5118199265670307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244">
        <v>87231228</v>
      </c>
      <c r="E109" s="280">
        <f t="shared" si="1"/>
        <v>301.02484907160829</v>
      </c>
      <c r="F109" s="246">
        <f t="shared" si="2"/>
        <v>1.5051242453580413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87224653</v>
      </c>
      <c r="E110" s="280">
        <f t="shared" si="1"/>
        <v>301.00215950930328</v>
      </c>
      <c r="F110" s="246">
        <f t="shared" si="2"/>
        <v>1.5050107975465163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86491264</v>
      </c>
      <c r="E111" s="280">
        <f t="shared" si="1"/>
        <v>298.47131914287195</v>
      </c>
      <c r="F111" s="246">
        <f t="shared" si="2"/>
        <v>1.4923565957143596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88080316</v>
      </c>
      <c r="E112" s="280">
        <f t="shared" si="1"/>
        <v>303.95495326604322</v>
      </c>
      <c r="F112" s="246">
        <f t="shared" si="2"/>
        <v>1.5197747663302161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87568449</v>
      </c>
      <c r="E113" s="281">
        <f t="shared" si="1"/>
        <v>302.18855962522764</v>
      </c>
      <c r="F113" s="249">
        <f t="shared" si="2"/>
        <v>1.5109427981261383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1.5075048549403836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54"/>
      <c r="D116" s="255"/>
      <c r="E116" s="216" t="s">
        <v>84</v>
      </c>
      <c r="F116" s="256">
        <f>STDEV(F108:F113)/F115</f>
        <v>6.0966490078912311E-3</v>
      </c>
      <c r="I116" s="98"/>
    </row>
    <row r="117" spans="1:10" ht="27" customHeight="1" x14ac:dyDescent="0.4">
      <c r="A117" s="301" t="s">
        <v>78</v>
      </c>
      <c r="B117" s="302"/>
      <c r="C117" s="257"/>
      <c r="D117" s="258"/>
      <c r="E117" s="259" t="s">
        <v>20</v>
      </c>
      <c r="F117" s="260">
        <f>COUNT(F108:F113)</f>
        <v>6</v>
      </c>
      <c r="I117" s="98"/>
      <c r="J117" s="236"/>
    </row>
    <row r="118" spans="1:10" ht="19.5" customHeight="1" x14ac:dyDescent="0.3">
      <c r="A118" s="303"/>
      <c r="B118" s="304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05" t="str">
        <f>B20</f>
        <v xml:space="preserve">Lopinavir/ Ritonavir </v>
      </c>
      <c r="D120" s="305"/>
      <c r="E120" s="205" t="s">
        <v>124</v>
      </c>
      <c r="F120" s="205"/>
      <c r="G120" s="206">
        <f>F115</f>
        <v>1.5075048549403836</v>
      </c>
      <c r="H120" s="98"/>
      <c r="I120" s="98"/>
    </row>
    <row r="121" spans="1:10" ht="19.5" customHeight="1" x14ac:dyDescent="0.3">
      <c r="A121" s="261"/>
      <c r="B121" s="261"/>
      <c r="C121" s="262"/>
      <c r="D121" s="262"/>
      <c r="E121" s="262"/>
      <c r="F121" s="262"/>
      <c r="G121" s="262"/>
      <c r="H121" s="262"/>
    </row>
    <row r="122" spans="1:10" ht="18.75" x14ac:dyDescent="0.3">
      <c r="B122" s="306" t="s">
        <v>26</v>
      </c>
      <c r="C122" s="306"/>
      <c r="E122" s="211" t="s">
        <v>27</v>
      </c>
      <c r="F122" s="263"/>
      <c r="G122" s="306" t="s">
        <v>28</v>
      </c>
      <c r="H122" s="306"/>
    </row>
    <row r="123" spans="1:10" ht="69.95" customHeight="1" x14ac:dyDescent="0.3">
      <c r="A123" s="264" t="s">
        <v>29</v>
      </c>
      <c r="B123" s="265"/>
      <c r="C123" s="265"/>
      <c r="E123" s="265"/>
      <c r="F123" s="98"/>
      <c r="G123" s="266"/>
      <c r="H123" s="266"/>
    </row>
    <row r="124" spans="1:10" ht="69.95" customHeight="1" x14ac:dyDescent="0.3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30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Layout" topLeftCell="A40" zoomScale="50" zoomScaleNormal="40" zoomScalePageLayoutView="50" workbookViewId="0">
      <selection activeCell="B29" sqref="B29"/>
    </sheetView>
  </sheetViews>
  <sheetFormatPr defaultColWidth="9.140625" defaultRowHeight="13.5" x14ac:dyDescent="0.2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 x14ac:dyDescent="0.25">
      <c r="A1" s="299" t="s">
        <v>45</v>
      </c>
      <c r="B1" s="299"/>
      <c r="C1" s="299"/>
      <c r="D1" s="299"/>
      <c r="E1" s="299"/>
      <c r="F1" s="299"/>
      <c r="G1" s="299"/>
      <c r="H1" s="299"/>
      <c r="I1" s="299"/>
    </row>
    <row r="2" spans="1:9" ht="18.75" customHeight="1" x14ac:dyDescent="0.25">
      <c r="A2" s="299"/>
      <c r="B2" s="299"/>
      <c r="C2" s="299"/>
      <c r="D2" s="299"/>
      <c r="E2" s="299"/>
      <c r="F2" s="299"/>
      <c r="G2" s="299"/>
      <c r="H2" s="299"/>
      <c r="I2" s="299"/>
    </row>
    <row r="3" spans="1:9" ht="18.75" customHeight="1" x14ac:dyDescent="0.25">
      <c r="A3" s="299"/>
      <c r="B3" s="299"/>
      <c r="C3" s="299"/>
      <c r="D3" s="299"/>
      <c r="E3" s="299"/>
      <c r="F3" s="299"/>
      <c r="G3" s="299"/>
      <c r="H3" s="299"/>
      <c r="I3" s="299"/>
    </row>
    <row r="4" spans="1:9" ht="18.75" customHeight="1" x14ac:dyDescent="0.25">
      <c r="A4" s="299"/>
      <c r="B4" s="299"/>
      <c r="C4" s="299"/>
      <c r="D4" s="299"/>
      <c r="E4" s="299"/>
      <c r="F4" s="299"/>
      <c r="G4" s="299"/>
      <c r="H4" s="299"/>
      <c r="I4" s="299"/>
    </row>
    <row r="5" spans="1:9" ht="18.75" customHeight="1" x14ac:dyDescent="0.25">
      <c r="A5" s="299"/>
      <c r="B5" s="299"/>
      <c r="C5" s="299"/>
      <c r="D5" s="299"/>
      <c r="E5" s="299"/>
      <c r="F5" s="299"/>
      <c r="G5" s="299"/>
      <c r="H5" s="299"/>
      <c r="I5" s="299"/>
    </row>
    <row r="6" spans="1:9" ht="18.75" customHeight="1" x14ac:dyDescent="0.25">
      <c r="A6" s="299"/>
      <c r="B6" s="299"/>
      <c r="C6" s="299"/>
      <c r="D6" s="299"/>
      <c r="E6" s="299"/>
      <c r="F6" s="299"/>
      <c r="G6" s="299"/>
      <c r="H6" s="299"/>
      <c r="I6" s="299"/>
    </row>
    <row r="7" spans="1:9" ht="18.75" customHeight="1" x14ac:dyDescent="0.25">
      <c r="A7" s="299"/>
      <c r="B7" s="299"/>
      <c r="C7" s="299"/>
      <c r="D7" s="299"/>
      <c r="E7" s="299"/>
      <c r="F7" s="299"/>
      <c r="G7" s="299"/>
      <c r="H7" s="299"/>
      <c r="I7" s="299"/>
    </row>
    <row r="8" spans="1:9" x14ac:dyDescent="0.25">
      <c r="A8" s="300" t="s">
        <v>46</v>
      </c>
      <c r="B8" s="300"/>
      <c r="C8" s="300"/>
      <c r="D8" s="300"/>
      <c r="E8" s="300"/>
      <c r="F8" s="300"/>
      <c r="G8" s="300"/>
      <c r="H8" s="300"/>
      <c r="I8" s="300"/>
    </row>
    <row r="9" spans="1:9" x14ac:dyDescent="0.25">
      <c r="A9" s="300"/>
      <c r="B9" s="300"/>
      <c r="C9" s="300"/>
      <c r="D9" s="300"/>
      <c r="E9" s="300"/>
      <c r="F9" s="300"/>
      <c r="G9" s="300"/>
      <c r="H9" s="300"/>
      <c r="I9" s="300"/>
    </row>
    <row r="10" spans="1:9" x14ac:dyDescent="0.25">
      <c r="A10" s="300"/>
      <c r="B10" s="300"/>
      <c r="C10" s="300"/>
      <c r="D10" s="300"/>
      <c r="E10" s="300"/>
      <c r="F10" s="300"/>
      <c r="G10" s="300"/>
      <c r="H10" s="300"/>
      <c r="I10" s="300"/>
    </row>
    <row r="11" spans="1:9" x14ac:dyDescent="0.25">
      <c r="A11" s="300"/>
      <c r="B11" s="300"/>
      <c r="C11" s="300"/>
      <c r="D11" s="300"/>
      <c r="E11" s="300"/>
      <c r="F11" s="300"/>
      <c r="G11" s="300"/>
      <c r="H11" s="300"/>
      <c r="I11" s="300"/>
    </row>
    <row r="12" spans="1:9" x14ac:dyDescent="0.25">
      <c r="A12" s="300"/>
      <c r="B12" s="300"/>
      <c r="C12" s="300"/>
      <c r="D12" s="300"/>
      <c r="E12" s="300"/>
      <c r="F12" s="300"/>
      <c r="G12" s="300"/>
      <c r="H12" s="300"/>
      <c r="I12" s="300"/>
    </row>
    <row r="13" spans="1:9" x14ac:dyDescent="0.25">
      <c r="A13" s="300"/>
      <c r="B13" s="300"/>
      <c r="C13" s="300"/>
      <c r="D13" s="300"/>
      <c r="E13" s="300"/>
      <c r="F13" s="300"/>
      <c r="G13" s="300"/>
      <c r="H13" s="300"/>
      <c r="I13" s="300"/>
    </row>
    <row r="14" spans="1:9" x14ac:dyDescent="0.25">
      <c r="A14" s="300"/>
      <c r="B14" s="300"/>
      <c r="C14" s="300"/>
      <c r="D14" s="300"/>
      <c r="E14" s="300"/>
      <c r="F14" s="300"/>
      <c r="G14" s="300"/>
      <c r="H14" s="300"/>
      <c r="I14" s="300"/>
    </row>
    <row r="15" spans="1:9" ht="19.5" customHeight="1" thickBot="1" x14ac:dyDescent="0.35">
      <c r="A15" s="205"/>
    </row>
    <row r="16" spans="1:9" ht="19.5" customHeight="1" thickBot="1" x14ac:dyDescent="0.35">
      <c r="A16" s="333" t="s">
        <v>31</v>
      </c>
      <c r="B16" s="334"/>
      <c r="C16" s="334"/>
      <c r="D16" s="334"/>
      <c r="E16" s="334"/>
      <c r="F16" s="334"/>
      <c r="G16" s="334"/>
      <c r="H16" s="335"/>
    </row>
    <row r="17" spans="1:14" ht="20.25" customHeight="1" x14ac:dyDescent="0.25">
      <c r="A17" s="336" t="s">
        <v>47</v>
      </c>
      <c r="B17" s="336"/>
      <c r="C17" s="336"/>
      <c r="D17" s="336"/>
      <c r="E17" s="336"/>
      <c r="F17" s="336"/>
      <c r="G17" s="336"/>
      <c r="H17" s="336"/>
    </row>
    <row r="18" spans="1:14" ht="26.25" customHeight="1" x14ac:dyDescent="0.4">
      <c r="A18" s="100" t="s">
        <v>33</v>
      </c>
      <c r="B18" s="332" t="s">
        <v>5</v>
      </c>
      <c r="C18" s="332"/>
      <c r="D18" s="27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286" t="s">
        <v>7</v>
      </c>
      <c r="C19" s="272">
        <v>21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7" t="s">
        <v>9</v>
      </c>
      <c r="C20" s="33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7" t="s">
        <v>11</v>
      </c>
      <c r="C21" s="337"/>
      <c r="D21" s="337"/>
      <c r="E21" s="337"/>
      <c r="F21" s="337"/>
      <c r="G21" s="337"/>
      <c r="H21" s="337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264" t="s">
        <v>4</v>
      </c>
      <c r="B26" s="332" t="s">
        <v>127</v>
      </c>
      <c r="C26" s="332"/>
    </row>
    <row r="27" spans="1:14" ht="26.25" customHeight="1" x14ac:dyDescent="0.4">
      <c r="A27" s="216" t="s">
        <v>48</v>
      </c>
      <c r="B27" s="330" t="s">
        <v>128</v>
      </c>
      <c r="C27" s="330"/>
    </row>
    <row r="28" spans="1:14" ht="27" customHeight="1" thickBot="1" x14ac:dyDescent="0.45">
      <c r="A28" s="216" t="s">
        <v>6</v>
      </c>
      <c r="B28" s="208">
        <v>99.3</v>
      </c>
    </row>
    <row r="29" spans="1:14" s="16" customFormat="1" ht="27" customHeight="1" thickBot="1" x14ac:dyDescent="0.45">
      <c r="A29" s="216" t="s">
        <v>49</v>
      </c>
      <c r="B29" s="111"/>
      <c r="C29" s="307" t="s">
        <v>50</v>
      </c>
      <c r="D29" s="308"/>
      <c r="E29" s="308"/>
      <c r="F29" s="308"/>
      <c r="G29" s="309"/>
      <c r="I29" s="112"/>
      <c r="J29" s="112"/>
      <c r="K29" s="112"/>
      <c r="L29" s="112"/>
    </row>
    <row r="30" spans="1:14" s="16" customFormat="1" ht="19.5" customHeight="1" thickBot="1" x14ac:dyDescent="0.35">
      <c r="A30" s="216" t="s">
        <v>51</v>
      </c>
      <c r="B30" s="282">
        <v>0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 x14ac:dyDescent="0.45">
      <c r="A31" s="216" t="s">
        <v>52</v>
      </c>
      <c r="B31" s="116">
        <v>1</v>
      </c>
      <c r="C31" s="310" t="s">
        <v>53</v>
      </c>
      <c r="D31" s="311"/>
      <c r="E31" s="311"/>
      <c r="F31" s="311"/>
      <c r="G31" s="311"/>
      <c r="H31" s="312"/>
      <c r="I31" s="112"/>
      <c r="J31" s="112"/>
      <c r="K31" s="112"/>
      <c r="L31" s="112"/>
    </row>
    <row r="32" spans="1:14" s="16" customFormat="1" ht="27" customHeight="1" thickBot="1" x14ac:dyDescent="0.45">
      <c r="A32" s="216" t="s">
        <v>54</v>
      </c>
      <c r="B32" s="116">
        <v>1</v>
      </c>
      <c r="C32" s="310" t="s">
        <v>55</v>
      </c>
      <c r="D32" s="311"/>
      <c r="E32" s="311"/>
      <c r="F32" s="311"/>
      <c r="G32" s="311"/>
      <c r="H32" s="312"/>
      <c r="I32" s="112"/>
      <c r="J32" s="112"/>
      <c r="K32" s="112"/>
      <c r="L32" s="117"/>
      <c r="M32" s="117"/>
      <c r="N32" s="118"/>
    </row>
    <row r="33" spans="1:14" s="16" customFormat="1" ht="17.25" customHeight="1" x14ac:dyDescent="0.3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 x14ac:dyDescent="0.3">
      <c r="A34" s="216" t="s">
        <v>56</v>
      </c>
      <c r="B34" s="121">
        <v>1</v>
      </c>
      <c r="C34" s="205" t="s">
        <v>57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 x14ac:dyDescent="0.35">
      <c r="A35" s="216"/>
      <c r="B35" s="282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 x14ac:dyDescent="0.45">
      <c r="A36" s="122" t="s">
        <v>58</v>
      </c>
      <c r="B36" s="123">
        <v>25</v>
      </c>
      <c r="C36" s="205"/>
      <c r="D36" s="313" t="s">
        <v>59</v>
      </c>
      <c r="E36" s="331"/>
      <c r="F36" s="313" t="s">
        <v>60</v>
      </c>
      <c r="G36" s="314"/>
      <c r="J36" s="112"/>
      <c r="K36" s="112"/>
      <c r="L36" s="117"/>
      <c r="M36" s="117"/>
      <c r="N36" s="118"/>
    </row>
    <row r="37" spans="1:14" s="16" customFormat="1" ht="27" customHeight="1" thickBot="1" x14ac:dyDescent="0.45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6" customFormat="1" ht="26.25" customHeight="1" x14ac:dyDescent="0.4">
      <c r="A38" s="124" t="s">
        <v>66</v>
      </c>
      <c r="B38" s="125">
        <v>100</v>
      </c>
      <c r="C38" s="131">
        <v>1</v>
      </c>
      <c r="D38" s="132">
        <v>4158976</v>
      </c>
      <c r="E38" s="133">
        <f>IF(ISBLANK(D38),"-",$D$48/$D$45*D38)</f>
        <v>4188294.058408862</v>
      </c>
      <c r="F38" s="132">
        <v>4743432</v>
      </c>
      <c r="G38" s="134">
        <f>IF(ISBLANK(F38),"-",$D$48/$F$45*F38)</f>
        <v>4161280.1915037232</v>
      </c>
      <c r="I38" s="135"/>
      <c r="J38" s="112"/>
      <c r="K38" s="112"/>
      <c r="L38" s="117"/>
      <c r="M38" s="117"/>
      <c r="N38" s="118"/>
    </row>
    <row r="39" spans="1:14" s="16" customFormat="1" ht="26.25" customHeight="1" x14ac:dyDescent="0.4">
      <c r="A39" s="124" t="s">
        <v>67</v>
      </c>
      <c r="B39" s="125">
        <v>1</v>
      </c>
      <c r="C39" s="156">
        <v>2</v>
      </c>
      <c r="D39" s="137">
        <v>4137048</v>
      </c>
      <c r="E39" s="138">
        <f>IF(ISBLANK(D39),"-",$D$48/$D$45*D39)</f>
        <v>4166211.4803625378</v>
      </c>
      <c r="F39" s="137">
        <v>4718826</v>
      </c>
      <c r="G39" s="139">
        <f>IF(ISBLANK(F39),"-",$D$48/$F$45*F39)</f>
        <v>4139694.0360803627</v>
      </c>
      <c r="I39" s="315">
        <f>ABS((F43/D43*D42)-F42)/D42</f>
        <v>6.0796121630343298E-3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56">
        <v>3</v>
      </c>
      <c r="D40" s="137">
        <v>4107411</v>
      </c>
      <c r="E40" s="138">
        <f>IF(ISBLANK(D40),"-",$D$48/$D$45*D40)</f>
        <v>4136365.5589123867</v>
      </c>
      <c r="F40" s="137">
        <v>4700644</v>
      </c>
      <c r="G40" s="139">
        <f>IF(ISBLANK(F40),"-",$D$48/$F$45*F40)</f>
        <v>4123743.4761393918</v>
      </c>
      <c r="I40" s="315"/>
      <c r="L40" s="117"/>
      <c r="M40" s="117"/>
      <c r="N40" s="205"/>
    </row>
    <row r="41" spans="1:14" ht="27" customHeight="1" thickBo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 x14ac:dyDescent="0.45">
      <c r="A42" s="124" t="s">
        <v>70</v>
      </c>
      <c r="B42" s="125">
        <v>1</v>
      </c>
      <c r="C42" s="146" t="s">
        <v>71</v>
      </c>
      <c r="D42" s="147">
        <f>AVERAGE(D38:D41)</f>
        <v>4134478.3333333335</v>
      </c>
      <c r="E42" s="148">
        <f>AVERAGE(E38:E41)</f>
        <v>4163623.6992279291</v>
      </c>
      <c r="F42" s="147">
        <f>AVERAGE(F38:F41)</f>
        <v>4720967.333333333</v>
      </c>
      <c r="G42" s="149">
        <f>AVERAGE(G38:G41)</f>
        <v>4141572.5679078265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15.48</v>
      </c>
      <c r="E43" s="205"/>
      <c r="F43" s="152">
        <v>17.77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15.48</v>
      </c>
      <c r="E44" s="224"/>
      <c r="F44" s="154">
        <f>F43*$B$34</f>
        <v>17.77</v>
      </c>
      <c r="H44" s="150"/>
    </row>
    <row r="45" spans="1:14" ht="19.5" customHeight="1" thickBot="1" x14ac:dyDescent="0.35">
      <c r="A45" s="124" t="s">
        <v>76</v>
      </c>
      <c r="B45" s="156">
        <f>(B44/B43)*(B42/B41)*(B40/B39)*(B38/B37)*B36</f>
        <v>2500</v>
      </c>
      <c r="C45" s="153" t="s">
        <v>77</v>
      </c>
      <c r="D45" s="157">
        <f>D43*B28/100</f>
        <v>15.371639999999999</v>
      </c>
      <c r="E45" s="201"/>
      <c r="F45" s="157">
        <f>F43*B28/100</f>
        <v>17.645609999999998</v>
      </c>
      <c r="H45" s="150"/>
    </row>
    <row r="46" spans="1:14" ht="19.5" customHeight="1" thickBot="1" x14ac:dyDescent="0.35">
      <c r="A46" s="301" t="s">
        <v>78</v>
      </c>
      <c r="B46" s="302"/>
      <c r="C46" s="153" t="s">
        <v>79</v>
      </c>
      <c r="D46" s="159">
        <f>D45/$B$45</f>
        <v>6.1486559999999997E-3</v>
      </c>
      <c r="E46" s="160"/>
      <c r="F46" s="161">
        <f>F45/$B$45</f>
        <v>7.0582439999999991E-3</v>
      </c>
      <c r="H46" s="150"/>
    </row>
    <row r="47" spans="1:14" ht="27" customHeight="1" thickBot="1" x14ac:dyDescent="0.45">
      <c r="A47" s="303"/>
      <c r="B47" s="304"/>
      <c r="C47" s="162" t="s">
        <v>80</v>
      </c>
      <c r="D47" s="163">
        <v>6.2500000000000003E-3</v>
      </c>
      <c r="E47" s="164"/>
      <c r="F47" s="160"/>
      <c r="H47" s="150"/>
    </row>
    <row r="48" spans="1:14" ht="18.75" x14ac:dyDescent="0.3">
      <c r="C48" s="165" t="s">
        <v>81</v>
      </c>
      <c r="D48" s="157">
        <v>15.48</v>
      </c>
      <c r="F48" s="166"/>
      <c r="H48" s="150"/>
    </row>
    <row r="49" spans="1:12" ht="19.5" customHeight="1" thickBot="1" x14ac:dyDescent="0.35">
      <c r="C49" s="167" t="s">
        <v>82</v>
      </c>
      <c r="D49" s="168">
        <f>D48/B34</f>
        <v>15.48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4152598.1335678776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5.6961371884180515E-3</v>
      </c>
      <c r="F51" s="170"/>
      <c r="H51" s="150"/>
    </row>
    <row r="52" spans="1:12" ht="19.5" customHeight="1" thickBot="1" x14ac:dyDescent="0.35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205" t="s">
        <v>86</v>
      </c>
      <c r="B55" s="177" t="str">
        <f>B21</f>
        <v>Each film-coated tablet contains Lopinavir 200 mg, Ritonavir 50 mg</v>
      </c>
    </row>
    <row r="56" spans="1:12" ht="26.25" customHeight="1" x14ac:dyDescent="0.4">
      <c r="A56" s="177" t="s">
        <v>87</v>
      </c>
      <c r="B56" s="178">
        <v>50</v>
      </c>
      <c r="C56" s="205" t="str">
        <f>B20</f>
        <v xml:space="preserve">Lopinavir/ Ritonavir </v>
      </c>
      <c r="H56" s="224"/>
    </row>
    <row r="57" spans="1:12" ht="18.75" x14ac:dyDescent="0.3">
      <c r="A57" s="177" t="s">
        <v>88</v>
      </c>
      <c r="B57" s="271">
        <f>Uniformity!C46</f>
        <v>1246.0794999999996</v>
      </c>
      <c r="H57" s="224"/>
    </row>
    <row r="58" spans="1:12" ht="19.5" customHeight="1" thickBot="1" x14ac:dyDescent="0.35">
      <c r="H58" s="224"/>
    </row>
    <row r="59" spans="1:12" s="16" customFormat="1" ht="27" customHeight="1" thickBot="1" x14ac:dyDescent="0.45">
      <c r="A59" s="122" t="s">
        <v>89</v>
      </c>
      <c r="B59" s="123">
        <v>250</v>
      </c>
      <c r="C59" s="205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6" customFormat="1" ht="26.25" customHeight="1" x14ac:dyDescent="0.4">
      <c r="A60" s="124" t="s">
        <v>93</v>
      </c>
      <c r="B60" s="125">
        <v>4</v>
      </c>
      <c r="C60" s="318" t="s">
        <v>94</v>
      </c>
      <c r="D60" s="321">
        <v>6244.62</v>
      </c>
      <c r="E60" s="182">
        <v>1</v>
      </c>
      <c r="F60" s="183">
        <v>4181615</v>
      </c>
      <c r="G60" s="273">
        <f>IF(ISBLANK(F60),"-",(F60/$D$50*$D$47*$B$68)*($B$57/$D$60))</f>
        <v>49.0573323266984</v>
      </c>
      <c r="H60" s="184">
        <f>IF(ISBLANK(F60),"-",G60/$B$56)</f>
        <v>0.98114664653396799</v>
      </c>
      <c r="L60" s="112"/>
    </row>
    <row r="61" spans="1:12" s="16" customFormat="1" ht="26.25" customHeight="1" x14ac:dyDescent="0.4">
      <c r="A61" s="124" t="s">
        <v>95</v>
      </c>
      <c r="B61" s="125">
        <v>50</v>
      </c>
      <c r="C61" s="319"/>
      <c r="D61" s="322"/>
      <c r="E61" s="185">
        <v>2</v>
      </c>
      <c r="F61" s="137">
        <v>4186202</v>
      </c>
      <c r="G61" s="274">
        <f>IF(ISBLANK(F61),"-",(F61/$D$50*$D$47*$B$68)*($B$57/$D$60))</f>
        <v>49.111145502560504</v>
      </c>
      <c r="H61" s="186">
        <f t="shared" ref="H61:H70" si="0">IF(ISBLANK(F61),"-",G61/$B$56)</f>
        <v>0.9822229100512101</v>
      </c>
      <c r="L61" s="112"/>
    </row>
    <row r="62" spans="1:12" s="16" customFormat="1" ht="26.25" customHeight="1" x14ac:dyDescent="0.4">
      <c r="A62" s="124" t="s">
        <v>96</v>
      </c>
      <c r="B62" s="125">
        <v>4</v>
      </c>
      <c r="C62" s="319"/>
      <c r="D62" s="322"/>
      <c r="E62" s="185">
        <v>3</v>
      </c>
      <c r="F62" s="187">
        <v>4176962</v>
      </c>
      <c r="G62" s="274">
        <f>IF(ISBLANK(F62),"-",(F62/$D$50*$D$47*$B$68)*($B$57/$D$60))</f>
        <v>49.002744860536133</v>
      </c>
      <c r="H62" s="186">
        <f t="shared" si="0"/>
        <v>0.9800548972107227</v>
      </c>
      <c r="L62" s="112"/>
    </row>
    <row r="63" spans="1:12" ht="27" customHeight="1" thickBot="1" x14ac:dyDescent="0.45">
      <c r="A63" s="124" t="s">
        <v>97</v>
      </c>
      <c r="B63" s="125">
        <v>50</v>
      </c>
      <c r="C63" s="329"/>
      <c r="D63" s="323"/>
      <c r="E63" s="188">
        <v>4</v>
      </c>
      <c r="F63" s="189"/>
      <c r="G63" s="274"/>
      <c r="H63" s="186"/>
    </row>
    <row r="64" spans="1:12" ht="26.25" customHeight="1" x14ac:dyDescent="0.4">
      <c r="A64" s="124" t="s">
        <v>98</v>
      </c>
      <c r="B64" s="125">
        <v>1</v>
      </c>
      <c r="C64" s="318" t="s">
        <v>99</v>
      </c>
      <c r="D64" s="321">
        <v>6263.98</v>
      </c>
      <c r="E64" s="182">
        <v>1</v>
      </c>
      <c r="F64" s="183">
        <v>4354948</v>
      </c>
      <c r="G64" s="275">
        <f>IF(ISBLANK(F64),"-",(F64/$D$50*$D$47*$B$68)*($B$57/$D$64))</f>
        <v>50.932912378742436</v>
      </c>
      <c r="H64" s="190">
        <f t="shared" si="0"/>
        <v>1.0186582475748487</v>
      </c>
    </row>
    <row r="65" spans="1:8" ht="26.25" customHeight="1" x14ac:dyDescent="0.4">
      <c r="A65" s="124" t="s">
        <v>100</v>
      </c>
      <c r="B65" s="125">
        <v>1</v>
      </c>
      <c r="C65" s="319"/>
      <c r="D65" s="322"/>
      <c r="E65" s="185">
        <v>2</v>
      </c>
      <c r="F65" s="137">
        <v>4365516</v>
      </c>
      <c r="G65" s="276">
        <f>IF(ISBLANK(F65),"-",(F65/$D$50*$D$47*$B$68)*($B$57/$D$64))</f>
        <v>51.056509495864972</v>
      </c>
      <c r="H65" s="191">
        <f t="shared" si="0"/>
        <v>1.0211301899172995</v>
      </c>
    </row>
    <row r="66" spans="1:8" ht="26.25" customHeight="1" x14ac:dyDescent="0.4">
      <c r="A66" s="124" t="s">
        <v>101</v>
      </c>
      <c r="B66" s="125">
        <v>1</v>
      </c>
      <c r="C66" s="319"/>
      <c r="D66" s="322"/>
      <c r="E66" s="185">
        <v>3</v>
      </c>
      <c r="F66" s="137">
        <v>4363176</v>
      </c>
      <c r="G66" s="276">
        <f>IF(ISBLANK(F66),"-",(F66/$D$50*$D$47*$B$68)*($B$57/$D$64))</f>
        <v>51.029142231097119</v>
      </c>
      <c r="H66" s="191">
        <f t="shared" si="0"/>
        <v>1.0205828446219423</v>
      </c>
    </row>
    <row r="67" spans="1:8" ht="27" customHeight="1" thickBot="1" x14ac:dyDescent="0.45">
      <c r="A67" s="124" t="s">
        <v>102</v>
      </c>
      <c r="B67" s="125">
        <v>1</v>
      </c>
      <c r="C67" s="329"/>
      <c r="D67" s="323"/>
      <c r="E67" s="188">
        <v>4</v>
      </c>
      <c r="F67" s="189"/>
      <c r="G67" s="277"/>
      <c r="H67" s="192"/>
    </row>
    <row r="68" spans="1:8" ht="26.25" customHeight="1" x14ac:dyDescent="0.4">
      <c r="A68" s="124" t="s">
        <v>103</v>
      </c>
      <c r="B68" s="193">
        <f>(B67/B66)*(B65/B64)*(B63/B62)*(B61/B60)*B59</f>
        <v>39062.5</v>
      </c>
      <c r="C68" s="318" t="s">
        <v>104</v>
      </c>
      <c r="D68" s="321">
        <v>6253.1</v>
      </c>
      <c r="E68" s="182">
        <v>1</v>
      </c>
      <c r="F68" s="183">
        <v>4352012</v>
      </c>
      <c r="G68" s="275">
        <f>IF(ISBLANK(F68),"-",(F68/$D$50*$D$47*$B$68)*($B$57/$D$68))</f>
        <v>50.987134961079867</v>
      </c>
      <c r="H68" s="186">
        <f t="shared" si="0"/>
        <v>1.0197426992215974</v>
      </c>
    </row>
    <row r="69" spans="1:8" ht="27" customHeight="1" thickBot="1" x14ac:dyDescent="0.45">
      <c r="A69" s="172" t="s">
        <v>105</v>
      </c>
      <c r="B69" s="194">
        <f>(D47*B68)/B56*B57</f>
        <v>6084.3725585937482</v>
      </c>
      <c r="C69" s="319"/>
      <c r="D69" s="322"/>
      <c r="E69" s="185">
        <v>2</v>
      </c>
      <c r="F69" s="137">
        <v>4359727</v>
      </c>
      <c r="G69" s="276">
        <f>IF(ISBLANK(F69),"-",(F69/$D$50*$D$47*$B$68)*($B$57/$D$68))</f>
        <v>51.077522061626638</v>
      </c>
      <c r="H69" s="186">
        <f t="shared" si="0"/>
        <v>1.0215504412325327</v>
      </c>
    </row>
    <row r="70" spans="1:8" ht="26.25" customHeight="1" x14ac:dyDescent="0.4">
      <c r="A70" s="324" t="s">
        <v>78</v>
      </c>
      <c r="B70" s="325"/>
      <c r="C70" s="319"/>
      <c r="D70" s="322"/>
      <c r="E70" s="185">
        <v>3</v>
      </c>
      <c r="F70" s="137">
        <v>4364677</v>
      </c>
      <c r="G70" s="276">
        <f>IF(ISBLANK(F70),"-",(F70/$D$50*$D$47*$B$68)*($B$57/$D$68))</f>
        <v>51.135515081420081</v>
      </c>
      <c r="H70" s="186">
        <f t="shared" si="0"/>
        <v>1.0227103016284016</v>
      </c>
    </row>
    <row r="71" spans="1:8" ht="27" customHeight="1" thickBot="1" x14ac:dyDescent="0.45">
      <c r="A71" s="326"/>
      <c r="B71" s="327"/>
      <c r="C71" s="320"/>
      <c r="D71" s="323"/>
      <c r="E71" s="188">
        <v>4</v>
      </c>
      <c r="F71" s="189"/>
      <c r="G71" s="277"/>
      <c r="H71" s="195"/>
    </row>
    <row r="72" spans="1:8" ht="26.25" customHeight="1" x14ac:dyDescent="0.4">
      <c r="A72" s="224"/>
      <c r="B72" s="224"/>
      <c r="C72" s="224"/>
      <c r="D72" s="224"/>
      <c r="E72" s="224"/>
      <c r="F72" s="224"/>
      <c r="G72" s="198" t="s">
        <v>71</v>
      </c>
      <c r="H72" s="199">
        <f>AVERAGE(H60:H71)</f>
        <v>1.0075332419991694</v>
      </c>
    </row>
    <row r="73" spans="1:8" ht="26.25" customHeight="1" x14ac:dyDescent="0.4">
      <c r="C73" s="224"/>
      <c r="D73" s="224"/>
      <c r="E73" s="224"/>
      <c r="F73" s="224"/>
      <c r="G73" s="200" t="s">
        <v>84</v>
      </c>
      <c r="H73" s="278">
        <f>STDEV(H60:H71)/H72</f>
        <v>1.9684623903685489E-2</v>
      </c>
    </row>
    <row r="74" spans="1:8" ht="27" customHeight="1" thickBot="1" x14ac:dyDescent="0.45">
      <c r="A74" s="224"/>
      <c r="B74" s="224"/>
      <c r="C74" s="224"/>
      <c r="D74" s="224"/>
      <c r="E74" s="201"/>
      <c r="F74" s="224"/>
      <c r="G74" s="202" t="s">
        <v>20</v>
      </c>
      <c r="H74" s="203">
        <f>COUNT(H60:H71)</f>
        <v>9</v>
      </c>
    </row>
    <row r="76" spans="1:8" ht="26.25" customHeight="1" x14ac:dyDescent="0.4">
      <c r="A76" s="264" t="s">
        <v>106</v>
      </c>
      <c r="B76" s="216" t="s">
        <v>107</v>
      </c>
      <c r="C76" s="305" t="str">
        <f>B20</f>
        <v xml:space="preserve">Lopinavir/ Ritonavir </v>
      </c>
      <c r="D76" s="305"/>
      <c r="E76" s="205" t="s">
        <v>108</v>
      </c>
      <c r="F76" s="205"/>
      <c r="G76" s="206">
        <f>H72</f>
        <v>1.0075332419991694</v>
      </c>
      <c r="H76" s="282"/>
    </row>
    <row r="77" spans="1:8" ht="18.75" x14ac:dyDescent="0.3">
      <c r="A77" s="107" t="s">
        <v>109</v>
      </c>
      <c r="B77" s="107" t="s">
        <v>110</v>
      </c>
      <c r="G77" s="227">
        <v>3</v>
      </c>
    </row>
    <row r="78" spans="1:8" ht="18.75" x14ac:dyDescent="0.3">
      <c r="A78" s="107"/>
      <c r="B78" s="107"/>
    </row>
    <row r="79" spans="1:8" ht="26.25" customHeight="1" x14ac:dyDescent="0.4">
      <c r="A79" s="264" t="s">
        <v>4</v>
      </c>
      <c r="B79" s="328" t="str">
        <f>B26</f>
        <v>Ritonavir</v>
      </c>
      <c r="C79" s="328"/>
    </row>
    <row r="80" spans="1:8" ht="26.25" customHeight="1" x14ac:dyDescent="0.4">
      <c r="A80" s="216" t="s">
        <v>48</v>
      </c>
      <c r="B80" s="328" t="str">
        <f>B27</f>
        <v>R9-1</v>
      </c>
      <c r="C80" s="328"/>
    </row>
    <row r="81" spans="1:12" ht="27" customHeight="1" thickBot="1" x14ac:dyDescent="0.45">
      <c r="A81" s="216" t="s">
        <v>6</v>
      </c>
      <c r="B81" s="208">
        <f>B28</f>
        <v>99.3</v>
      </c>
    </row>
    <row r="82" spans="1:12" s="16" customFormat="1" ht="27" customHeight="1" thickBot="1" x14ac:dyDescent="0.45">
      <c r="A82" s="216" t="s">
        <v>49</v>
      </c>
      <c r="B82" s="111">
        <v>0</v>
      </c>
      <c r="C82" s="307" t="s">
        <v>50</v>
      </c>
      <c r="D82" s="308"/>
      <c r="E82" s="308"/>
      <c r="F82" s="308"/>
      <c r="G82" s="309"/>
      <c r="I82" s="112"/>
      <c r="J82" s="112"/>
      <c r="K82" s="112"/>
      <c r="L82" s="112"/>
    </row>
    <row r="83" spans="1:12" s="16" customFormat="1" ht="19.5" customHeight="1" thickBot="1" x14ac:dyDescent="0.35">
      <c r="A83" s="216" t="s">
        <v>51</v>
      </c>
      <c r="B83" s="282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 x14ac:dyDescent="0.45">
      <c r="A84" s="216" t="s">
        <v>52</v>
      </c>
      <c r="B84" s="116">
        <v>1</v>
      </c>
      <c r="C84" s="310" t="s">
        <v>111</v>
      </c>
      <c r="D84" s="311"/>
      <c r="E84" s="311"/>
      <c r="F84" s="311"/>
      <c r="G84" s="311"/>
      <c r="H84" s="312"/>
      <c r="I84" s="112"/>
      <c r="J84" s="112"/>
      <c r="K84" s="112"/>
      <c r="L84" s="112"/>
    </row>
    <row r="85" spans="1:12" s="16" customFormat="1" ht="27" customHeight="1" thickBot="1" x14ac:dyDescent="0.45">
      <c r="A85" s="216" t="s">
        <v>54</v>
      </c>
      <c r="B85" s="116">
        <v>1</v>
      </c>
      <c r="C85" s="310" t="s">
        <v>112</v>
      </c>
      <c r="D85" s="311"/>
      <c r="E85" s="311"/>
      <c r="F85" s="311"/>
      <c r="G85" s="311"/>
      <c r="H85" s="312"/>
      <c r="I85" s="112"/>
      <c r="J85" s="112"/>
      <c r="K85" s="112"/>
      <c r="L85" s="112"/>
    </row>
    <row r="86" spans="1:12" s="16" customFormat="1" ht="18.75" x14ac:dyDescent="0.3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 x14ac:dyDescent="0.3">
      <c r="A87" s="216" t="s">
        <v>56</v>
      </c>
      <c r="B87" s="121">
        <f>B84/B85</f>
        <v>1</v>
      </c>
      <c r="C87" s="205" t="s">
        <v>57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 x14ac:dyDescent="0.35">
      <c r="A88" s="107"/>
      <c r="B88" s="107"/>
    </row>
    <row r="89" spans="1:12" ht="27" customHeight="1" thickBot="1" x14ac:dyDescent="0.45">
      <c r="A89" s="122" t="s">
        <v>58</v>
      </c>
      <c r="B89" s="123">
        <v>25</v>
      </c>
      <c r="D89" s="284" t="s">
        <v>59</v>
      </c>
      <c r="E89" s="287"/>
      <c r="F89" s="313" t="s">
        <v>60</v>
      </c>
      <c r="G89" s="314"/>
    </row>
    <row r="90" spans="1:12" ht="27" customHeight="1" thickBot="1" x14ac:dyDescent="0.45">
      <c r="A90" s="124" t="s">
        <v>61</v>
      </c>
      <c r="B90" s="125">
        <v>4</v>
      </c>
      <c r="C90" s="283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200</v>
      </c>
      <c r="C91" s="213">
        <v>1</v>
      </c>
      <c r="D91" s="132">
        <v>52522362</v>
      </c>
      <c r="E91" s="133">
        <f>IF(ISBLANK(D91),"-",$D$101/$D$98*D91)</f>
        <v>14622205.157439657</v>
      </c>
      <c r="F91" s="132">
        <v>53289728</v>
      </c>
      <c r="G91" s="134">
        <f>IF(ISBLANK(F91),"-",$D$101/$F$98*F91)</f>
        <v>14456023.64556377</v>
      </c>
      <c r="I91" s="135"/>
    </row>
    <row r="92" spans="1:12" ht="26.25" customHeight="1" x14ac:dyDescent="0.4">
      <c r="A92" s="124" t="s">
        <v>67</v>
      </c>
      <c r="B92" s="125">
        <v>1</v>
      </c>
      <c r="C92" s="224">
        <v>2</v>
      </c>
      <c r="D92" s="137">
        <v>52553125</v>
      </c>
      <c r="E92" s="138">
        <f>IF(ISBLANK(D92),"-",$D$101/$D$98*D92)</f>
        <v>14630769.564677441</v>
      </c>
      <c r="F92" s="137">
        <v>53121237</v>
      </c>
      <c r="G92" s="139">
        <f>IF(ISBLANK(F92),"-",$D$101/$F$98*F92)</f>
        <v>14410316.715326395</v>
      </c>
      <c r="I92" s="315">
        <f>ABS((F96/D96*D95)-F95)/D95</f>
        <v>9.1663928758481394E-3</v>
      </c>
    </row>
    <row r="93" spans="1:12" ht="26.25" customHeight="1" x14ac:dyDescent="0.4">
      <c r="A93" s="124" t="s">
        <v>68</v>
      </c>
      <c r="B93" s="125">
        <v>1</v>
      </c>
      <c r="C93" s="224">
        <v>3</v>
      </c>
      <c r="D93" s="137">
        <v>52565096</v>
      </c>
      <c r="E93" s="138">
        <f>IF(ISBLANK(D93),"-",$D$101/$D$98*D93)</f>
        <v>14634102.28642251</v>
      </c>
      <c r="F93" s="137">
        <v>54057613</v>
      </c>
      <c r="G93" s="139">
        <f>IF(ISBLANK(F93),"-",$D$101/$F$98*F93)</f>
        <v>14664329.526146866</v>
      </c>
      <c r="I93" s="315"/>
    </row>
    <row r="94" spans="1:12" ht="27" customHeight="1" thickBot="1" x14ac:dyDescent="0.45">
      <c r="A94" s="124" t="s">
        <v>69</v>
      </c>
      <c r="B94" s="125">
        <v>1</v>
      </c>
      <c r="C94" s="214">
        <v>4</v>
      </c>
      <c r="D94" s="142">
        <v>52522362</v>
      </c>
      <c r="E94" s="143">
        <f>IF(ISBLANK(D94),"-",$D$101/$D$98*D94)</f>
        <v>14622205.157439657</v>
      </c>
      <c r="F94" s="215">
        <v>53289728</v>
      </c>
      <c r="G94" s="144">
        <f>IF(ISBLANK(F94),"-",$D$101/$F$98*F94)</f>
        <v>14456023.64556377</v>
      </c>
      <c r="I94" s="145"/>
    </row>
    <row r="95" spans="1:12" ht="27" customHeight="1" thickBot="1" x14ac:dyDescent="0.45">
      <c r="A95" s="124" t="s">
        <v>70</v>
      </c>
      <c r="B95" s="125">
        <v>1</v>
      </c>
      <c r="C95" s="216" t="s">
        <v>71</v>
      </c>
      <c r="D95" s="217">
        <f>AVERAGE(D91:D94)</f>
        <v>52540736.25</v>
      </c>
      <c r="E95" s="148">
        <f>AVERAGE(E91:E94)</f>
        <v>14627320.541494815</v>
      </c>
      <c r="F95" s="218">
        <f>AVERAGE(F91:F94)</f>
        <v>53439576.5</v>
      </c>
      <c r="G95" s="219">
        <f>AVERAGE(G91:G94)</f>
        <v>14496673.383150201</v>
      </c>
    </row>
    <row r="96" spans="1:12" ht="26.25" customHeight="1" x14ac:dyDescent="0.4">
      <c r="A96" s="124" t="s">
        <v>72</v>
      </c>
      <c r="B96" s="208">
        <v>1</v>
      </c>
      <c r="C96" s="220" t="s">
        <v>113</v>
      </c>
      <c r="D96" s="221">
        <v>25.12</v>
      </c>
      <c r="E96" s="205"/>
      <c r="F96" s="152">
        <v>25.78</v>
      </c>
    </row>
    <row r="97" spans="1:10" ht="26.25" customHeight="1" x14ac:dyDescent="0.4">
      <c r="A97" s="124" t="s">
        <v>74</v>
      </c>
      <c r="B97" s="208">
        <v>1</v>
      </c>
      <c r="C97" s="222" t="s">
        <v>114</v>
      </c>
      <c r="D97" s="223">
        <f>D96*$B$87</f>
        <v>25.12</v>
      </c>
      <c r="E97" s="224"/>
      <c r="F97" s="154">
        <f>F96*$B$87</f>
        <v>25.78</v>
      </c>
    </row>
    <row r="98" spans="1:10" ht="19.5" customHeight="1" thickBot="1" x14ac:dyDescent="0.35">
      <c r="A98" s="124" t="s">
        <v>76</v>
      </c>
      <c r="B98" s="224">
        <f>(B97/B96)*(B95/B94)*(B93/B92)*(B91/B90)*B89</f>
        <v>1250</v>
      </c>
      <c r="C98" s="222" t="s">
        <v>115</v>
      </c>
      <c r="D98" s="225">
        <f>D97*$B$83/100</f>
        <v>24.94416</v>
      </c>
      <c r="E98" s="201"/>
      <c r="F98" s="157">
        <f>F97*$B$83/100</f>
        <v>25.599540000000001</v>
      </c>
    </row>
    <row r="99" spans="1:10" ht="19.5" customHeight="1" thickBot="1" x14ac:dyDescent="0.35">
      <c r="A99" s="301" t="s">
        <v>78</v>
      </c>
      <c r="B99" s="316"/>
      <c r="C99" s="222" t="s">
        <v>116</v>
      </c>
      <c r="D99" s="226">
        <f>D98/$B$98</f>
        <v>1.9955328000000001E-2</v>
      </c>
      <c r="E99" s="201"/>
      <c r="F99" s="161">
        <f>F98/$B$98</f>
        <v>2.0479632000000001E-2</v>
      </c>
      <c r="H99" s="150"/>
    </row>
    <row r="100" spans="1:10" ht="19.5" customHeight="1" thickBot="1" x14ac:dyDescent="0.35">
      <c r="A100" s="303"/>
      <c r="B100" s="317"/>
      <c r="C100" s="222" t="s">
        <v>80</v>
      </c>
      <c r="D100" s="228">
        <f>$B$56/$B$116</f>
        <v>5.5555555555555558E-3</v>
      </c>
      <c r="F100" s="166"/>
      <c r="G100" s="235"/>
      <c r="H100" s="150"/>
    </row>
    <row r="101" spans="1:10" ht="18.75" x14ac:dyDescent="0.3">
      <c r="C101" s="222" t="s">
        <v>81</v>
      </c>
      <c r="D101" s="223">
        <f>D100*$B$98</f>
        <v>6.9444444444444446</v>
      </c>
      <c r="F101" s="166"/>
      <c r="H101" s="150"/>
    </row>
    <row r="102" spans="1:10" ht="19.5" customHeight="1" thickBot="1" x14ac:dyDescent="0.35">
      <c r="C102" s="230" t="s">
        <v>82</v>
      </c>
      <c r="D102" s="231">
        <f>D101/B34</f>
        <v>6.9444444444444446</v>
      </c>
      <c r="F102" s="170"/>
      <c r="H102" s="150"/>
      <c r="J102" s="232"/>
    </row>
    <row r="103" spans="1:10" ht="18.75" x14ac:dyDescent="0.3">
      <c r="C103" s="233" t="s">
        <v>117</v>
      </c>
      <c r="D103" s="234">
        <f>AVERAGE(E91:E94,G91:G94)</f>
        <v>14561996.962322509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7.0184870796217904E-3</v>
      </c>
      <c r="F104" s="170"/>
      <c r="H104" s="150"/>
      <c r="J104" s="236"/>
    </row>
    <row r="105" spans="1:10" ht="19.5" customHeight="1" thickBot="1" x14ac:dyDescent="0.35">
      <c r="C105" s="202" t="s">
        <v>20</v>
      </c>
      <c r="D105" s="238">
        <f>COUNT(E91:E94,G91:G94)</f>
        <v>8</v>
      </c>
      <c r="F105" s="170"/>
      <c r="H105" s="150"/>
      <c r="J105" s="236"/>
    </row>
    <row r="106" spans="1:10" ht="19.5" customHeight="1" thickBot="1" x14ac:dyDescent="0.35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84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244">
        <v>87619284</v>
      </c>
      <c r="E108" s="279">
        <f t="shared" ref="E108:E113" si="1">IF(ISBLANK(D108),"-",D108/$D$103*$D$100*$B$116)</f>
        <v>300.84913568758742</v>
      </c>
      <c r="F108" s="245">
        <f t="shared" ref="F108:F113" si="2">IF(ISBLANK(D108), "-", E108/$B$56)</f>
        <v>6.016982713751748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244">
        <v>87231228</v>
      </c>
      <c r="E109" s="280">
        <f t="shared" si="1"/>
        <v>299.51670854519733</v>
      </c>
      <c r="F109" s="246">
        <f t="shared" si="2"/>
        <v>5.9903341709039468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87224653</v>
      </c>
      <c r="E110" s="280">
        <f t="shared" si="1"/>
        <v>299.49413265805424</v>
      </c>
      <c r="F110" s="246">
        <f t="shared" si="2"/>
        <v>5.9898826531610849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86491264</v>
      </c>
      <c r="E111" s="280">
        <f t="shared" si="1"/>
        <v>296.97597185257695</v>
      </c>
      <c r="F111" s="246">
        <f t="shared" si="2"/>
        <v>5.9395194370515387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88080316</v>
      </c>
      <c r="E112" s="280">
        <f t="shared" si="1"/>
        <v>302.43213285889868</v>
      </c>
      <c r="F112" s="246">
        <f t="shared" si="2"/>
        <v>6.0486426571779734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87568449</v>
      </c>
      <c r="E113" s="281">
        <f t="shared" si="1"/>
        <v>300.67458888562226</v>
      </c>
      <c r="F113" s="249">
        <f t="shared" si="2"/>
        <v>6.0134917777124448</v>
      </c>
    </row>
    <row r="114" spans="1:10" ht="26.25" customHeight="1" x14ac:dyDescent="0.4">
      <c r="A114" s="124" t="s">
        <v>101</v>
      </c>
      <c r="B114" s="125">
        <v>1</v>
      </c>
      <c r="C114" s="243"/>
      <c r="D114" s="224"/>
      <c r="E114" s="205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5.999808901626456</v>
      </c>
    </row>
    <row r="116" spans="1:10" ht="27" customHeight="1" thickBot="1" x14ac:dyDescent="0.45">
      <c r="A116" s="124" t="s">
        <v>103</v>
      </c>
      <c r="B116" s="156">
        <f>(B115/B114)*(B113/B112)*(B111/B110)*(B109/B108)*B107</f>
        <v>9000</v>
      </c>
      <c r="C116" s="254"/>
      <c r="D116" s="255"/>
      <c r="E116" s="216" t="s">
        <v>84</v>
      </c>
      <c r="F116" s="256">
        <f>STDEV(F108:F113)/F115</f>
        <v>6.0966490078912059E-3</v>
      </c>
      <c r="I116" s="205"/>
    </row>
    <row r="117" spans="1:10" ht="27" customHeight="1" thickBot="1" x14ac:dyDescent="0.45">
      <c r="A117" s="301" t="s">
        <v>78</v>
      </c>
      <c r="B117" s="302"/>
      <c r="C117" s="257"/>
      <c r="D117" s="258"/>
      <c r="E117" s="259" t="s">
        <v>20</v>
      </c>
      <c r="F117" s="260">
        <f>COUNT(F108:F113)</f>
        <v>6</v>
      </c>
      <c r="I117" s="205"/>
      <c r="J117" s="236"/>
    </row>
    <row r="118" spans="1:10" ht="19.5" customHeight="1" thickBot="1" x14ac:dyDescent="0.35">
      <c r="A118" s="303"/>
      <c r="B118" s="304"/>
      <c r="C118" s="205"/>
      <c r="D118" s="205"/>
      <c r="E118" s="205"/>
      <c r="F118" s="224"/>
      <c r="G118" s="205"/>
      <c r="H118" s="205"/>
      <c r="I118" s="205"/>
    </row>
    <row r="119" spans="1:10" ht="18.75" x14ac:dyDescent="0.3">
      <c r="A119" s="269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 x14ac:dyDescent="0.4">
      <c r="A120" s="264" t="s">
        <v>106</v>
      </c>
      <c r="B120" s="216" t="s">
        <v>123</v>
      </c>
      <c r="C120" s="305" t="str">
        <f>B20</f>
        <v xml:space="preserve">Lopinavir/ Ritonavir </v>
      </c>
      <c r="D120" s="305"/>
      <c r="E120" s="205" t="s">
        <v>124</v>
      </c>
      <c r="F120" s="205"/>
      <c r="G120" s="206">
        <f>F115</f>
        <v>5.999808901626456</v>
      </c>
      <c r="H120" s="205"/>
      <c r="I120" s="205"/>
    </row>
    <row r="121" spans="1:10" ht="19.5" customHeight="1" thickBot="1" x14ac:dyDescent="0.35">
      <c r="A121" s="285"/>
      <c r="B121" s="285"/>
      <c r="C121" s="262"/>
      <c r="D121" s="262"/>
      <c r="E121" s="262"/>
      <c r="F121" s="262"/>
      <c r="G121" s="262"/>
      <c r="H121" s="262"/>
    </row>
    <row r="122" spans="1:10" ht="18.75" x14ac:dyDescent="0.3">
      <c r="B122" s="306" t="s">
        <v>26</v>
      </c>
      <c r="C122" s="306"/>
      <c r="E122" s="283" t="s">
        <v>27</v>
      </c>
      <c r="F122" s="263"/>
      <c r="G122" s="306" t="s">
        <v>28</v>
      </c>
      <c r="H122" s="306"/>
    </row>
    <row r="123" spans="1:10" ht="69.95" customHeight="1" x14ac:dyDescent="0.3">
      <c r="A123" s="264" t="s">
        <v>29</v>
      </c>
      <c r="B123" s="266"/>
      <c r="C123" s="266"/>
      <c r="E123" s="266"/>
      <c r="F123" s="205"/>
      <c r="G123" s="266"/>
      <c r="H123" s="266"/>
    </row>
    <row r="124" spans="1:10" ht="69.95" customHeight="1" x14ac:dyDescent="0.3">
      <c r="A124" s="264" t="s">
        <v>30</v>
      </c>
      <c r="B124" s="267"/>
      <c r="C124" s="267"/>
      <c r="E124" s="267"/>
      <c r="F124" s="205"/>
      <c r="G124" s="268"/>
      <c r="H124" s="268"/>
    </row>
    <row r="125" spans="1:10" ht="18.75" x14ac:dyDescent="0.3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 x14ac:dyDescent="0.3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 x14ac:dyDescent="0.3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 x14ac:dyDescent="0.3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 x14ac:dyDescent="0.3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 x14ac:dyDescent="0.3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 x14ac:dyDescent="0.3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 x14ac:dyDescent="0.3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 x14ac:dyDescent="0.3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 x14ac:dyDescent="0.25">
      <c r="A250" s="22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30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Lopinavir</vt:lpstr>
      <vt:lpstr>SST Ritonavir</vt:lpstr>
      <vt:lpstr>Uniformity</vt:lpstr>
      <vt:lpstr>Lopinavir</vt:lpstr>
      <vt:lpstr>Ritonavir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Quality Assurance</cp:lastModifiedBy>
  <cp:lastPrinted>2015-09-29T08:43:22Z</cp:lastPrinted>
  <dcterms:created xsi:type="dcterms:W3CDTF">2005-07-05T10:19:27Z</dcterms:created>
  <dcterms:modified xsi:type="dcterms:W3CDTF">2015-09-29T08:44:39Z</dcterms:modified>
  <cp:category/>
</cp:coreProperties>
</file>