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3095" windowHeight="4305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E94" i="3" l="1"/>
  <c r="E93" i="3"/>
  <c r="E92" i="3"/>
  <c r="E91" i="3"/>
  <c r="E41" i="3"/>
  <c r="E40" i="3"/>
  <c r="E39" i="3"/>
  <c r="E38" i="3"/>
  <c r="B21" i="1" l="1"/>
  <c r="G38" i="3" l="1"/>
  <c r="C46" i="2" l="1"/>
  <c r="B57" i="3" s="1"/>
  <c r="C15" i="2"/>
  <c r="B45" i="3"/>
  <c r="D48" i="3" s="1"/>
  <c r="B87" i="3"/>
  <c r="B34" i="3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D44" i="3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G91" i="3" s="1"/>
  <c r="F97" i="3"/>
  <c r="F98" i="3" s="1"/>
  <c r="I39" i="3"/>
  <c r="F44" i="3"/>
  <c r="F45" i="3" s="1"/>
  <c r="D45" i="3"/>
  <c r="D98" i="3"/>
  <c r="D49" i="3"/>
  <c r="C50" i="2"/>
  <c r="D102" i="3" l="1"/>
  <c r="G93" i="3"/>
  <c r="G94" i="3"/>
  <c r="F99" i="3"/>
  <c r="G92" i="3"/>
  <c r="D46" i="3"/>
  <c r="F46" i="3"/>
  <c r="G39" i="3"/>
  <c r="G41" i="3"/>
  <c r="G40" i="3"/>
  <c r="D99" i="3"/>
  <c r="G95" i="3" l="1"/>
  <c r="D103" i="3"/>
  <c r="E111" i="3" s="1"/>
  <c r="F111" i="3" s="1"/>
  <c r="G42" i="3"/>
  <c r="E95" i="3"/>
  <c r="D52" i="3"/>
  <c r="E42" i="3"/>
  <c r="D105" i="3"/>
  <c r="D50" i="3"/>
  <c r="D104" i="3" l="1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<sst xmlns="http://schemas.openxmlformats.org/spreadsheetml/2006/main" count="233" uniqueCount="129">
  <si>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</si>
  <si>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</si>
  <si>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</si>
  <si>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</si>
  <si>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</si>
  <si>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</si>
  <si>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</si>
  <si>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Weight (mg):</t>
  </si>
  <si>
    <t>EFAVIRENZ</t>
  </si>
  <si>
    <t>Standard Conc (mg/mL):</t>
  </si>
  <si>
    <t>Each film-coated tablet contains Efavirenz 600mg</t>
  </si>
  <si>
    <t>2015-08-11 14:46:50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</si>
  <si>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</si>
  <si>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</si>
  <si>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</si>
  <si>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</si>
  <si>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</si>
  <si>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</si>
  <si>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</si>
  <si>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</si>
  <si>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</si>
  <si>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</si>
  <si>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</si>
  <si>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</si>
  <si>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</si>
  <si>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</si>
  <si>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</si>
  <si>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</si>
  <si>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</si>
  <si>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</si>
  <si>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</si>
  <si>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</si>
  <si>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</si>
  <si>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</si>
  <si>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</si>
  <si>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</si>
  <si>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</si>
  <si>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</si>
  <si>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</si>
  <si>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</si>
  <si>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</si>
  <si>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</si>
  <si>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</si>
  <si>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</si>
  <si>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</si>
  <si>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</si>
  <si>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</si>
  <si>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</si>
  <si>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</si>
  <si>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</si>
  <si>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</si>
  <si>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</si>
  <si>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</si>
  <si>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</si>
  <si>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</si>
  <si>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</si>
  <si>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</si>
  <si>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</si>
  <si>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</si>
  <si>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</si>
  <si>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</si>
  <si>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</si>
  <si>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</si>
  <si>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</si>
  <si>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</si>
  <si>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</si>
  <si>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</si>
  <si>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</si>
  <si>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</si>
  <si>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</si>
  <si>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</si>
  <si>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</si>
  <si>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</si>
  <si>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</si>
  <si>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</si>
  <si>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</si>
  <si>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</si>
  <si>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</si>
  <si>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</si>
  <si>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</si>
  <si>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</si>
  <si>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</si>
  <si>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</si>
  <si>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</si>
  <si>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</si>
  <si>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</si>
  <si>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</si>
  <si>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</si>
  <si>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</si>
  <si>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</si>
  <si>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</si>
  <si>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</si>
  <si>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</si>
  <si>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</si>
  <si>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</si>
  <si>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</si>
  <si>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</si>
  <si>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</si>
  <si>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</si>
  <si>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</si>
  <si>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</si>
  <si>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</si>
  <si>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</si>
  <si>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</si>
  <si>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</si>
  <si>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</si>
  <si>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</si>
  <si>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</si>
  <si>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</si>
  <si>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</si>
  <si>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</si>
  <si>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</si>
  <si>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</si>
  <si>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</si>
  <si>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</si>
  <si>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</si>
  <si>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</si>
  <si>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</si>
  <si>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</si>
  <si>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</si>
  <si>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</si>
  <si>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</si>
  <si>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</si>
  <si>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</si>
  <si>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</si>
  <si>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 3</t>
  </si>
  <si>
    <t>Each film-coated tablet contains Efavirenz 200mg</t>
  </si>
  <si>
    <t>Bugigi</t>
  </si>
  <si>
    <t>NDQD201508103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</si>
</sst>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G28" sqref="G28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5" t="s">
        <v>0</v>
      </c>
      <c r="B15" s="285"/>
      <c r="C15" s="285"/>
      <c r="D15" s="285"/>
      <c r="E15" s="285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8</v>
      </c>
      <c r="C18" s="10"/>
      <c r="D18" s="10"/>
      <c r="E18" s="10"/>
    </row>
    <row r="19" spans="1:6" ht="16.5" customHeight="1">
      <c r="A19" s="11" t="s">
        <v>6</v>
      </c>
      <c r="B19" s="12">
        <v>99.3</v>
      </c>
      <c r="C19" s="10"/>
      <c r="D19" s="10"/>
      <c r="E19" s="10"/>
    </row>
    <row r="20" spans="1:6" ht="16.5" customHeight="1">
      <c r="A20" s="7" t="s">
        <v>7</v>
      </c>
      <c r="B20" s="9">
        <v>27.22</v>
      </c>
      <c r="C20" s="10"/>
      <c r="D20" s="10"/>
      <c r="E20" s="10"/>
    </row>
    <row r="21" spans="1:6" ht="16.5" customHeight="1">
      <c r="A21" s="7" t="s">
        <v>9</v>
      </c>
      <c r="B21" s="13">
        <f>B20/10*1/25</f>
        <v>0.10888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>
      <c r="A24" s="17">
        <v>1</v>
      </c>
      <c r="B24" s="18">
        <v>114150927</v>
      </c>
      <c r="C24" s="18">
        <v>49976.800000000003</v>
      </c>
      <c r="D24" s="19">
        <v>1.1000000000000001</v>
      </c>
      <c r="E24" s="20">
        <v>11.313000000000001</v>
      </c>
    </row>
    <row r="25" spans="1:6" ht="16.5" customHeight="1">
      <c r="A25" s="17">
        <v>2</v>
      </c>
      <c r="B25" s="18">
        <v>113785619</v>
      </c>
      <c r="C25" s="18">
        <v>50386.2</v>
      </c>
      <c r="D25" s="19">
        <v>1</v>
      </c>
      <c r="E25" s="19">
        <v>11.318</v>
      </c>
    </row>
    <row r="26" spans="1:6" ht="16.5" customHeight="1">
      <c r="A26" s="17">
        <v>3</v>
      </c>
      <c r="B26" s="18">
        <v>113552589</v>
      </c>
      <c r="C26" s="18">
        <v>52077.2</v>
      </c>
      <c r="D26" s="19">
        <v>1</v>
      </c>
      <c r="E26" s="19">
        <v>11.43</v>
      </c>
    </row>
    <row r="27" spans="1:6" ht="16.5" customHeight="1">
      <c r="A27" s="17">
        <v>4</v>
      </c>
      <c r="B27" s="18">
        <v>114054715</v>
      </c>
      <c r="C27" s="18">
        <v>50402.5</v>
      </c>
      <c r="D27" s="19">
        <v>1.1000000000000001</v>
      </c>
      <c r="E27" s="19">
        <v>11.318</v>
      </c>
    </row>
    <row r="28" spans="1:6" ht="16.5" customHeight="1">
      <c r="A28" s="17">
        <v>5</v>
      </c>
      <c r="B28" s="18">
        <v>114254934</v>
      </c>
      <c r="C28" s="18">
        <v>50596.800000000003</v>
      </c>
      <c r="D28" s="19">
        <v>1.1000000000000001</v>
      </c>
      <c r="E28" s="19">
        <v>11.318</v>
      </c>
    </row>
    <row r="29" spans="1:6" ht="16.5" customHeight="1">
      <c r="A29" s="17">
        <v>6</v>
      </c>
      <c r="B29" s="21">
        <v>113997770</v>
      </c>
      <c r="C29" s="21">
        <v>51266.2</v>
      </c>
      <c r="D29" s="22">
        <v>1</v>
      </c>
      <c r="E29" s="22">
        <v>11.318</v>
      </c>
    </row>
    <row r="30" spans="1:6" ht="16.5" customHeight="1">
      <c r="A30" s="23" t="s">
        <v>17</v>
      </c>
      <c r="B30" s="24">
        <f>AVERAGE(B24:B29)</f>
        <v>113966092.33333333</v>
      </c>
      <c r="C30" s="25">
        <f>AVERAGE(C24:C29)</f>
        <v>50784.283333333333</v>
      </c>
      <c r="D30" s="26">
        <f>AVERAGE(D24:D29)</f>
        <v>1.05</v>
      </c>
      <c r="E30" s="26">
        <f>AVERAGE(E24:E29)</f>
        <v>11.335833333333333</v>
      </c>
    </row>
    <row r="31" spans="1:6" ht="16.5" customHeight="1">
      <c r="A31" s="27" t="s">
        <v>18</v>
      </c>
      <c r="B31" s="28">
        <f>(STDEV(B24:B29)/B30)</f>
        <v>2.2542420724668165E-3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1" t="str">
        <f>B18</f>
        <v>EFAVIRENZ</v>
      </c>
      <c r="C39" s="10"/>
      <c r="D39" s="10"/>
      <c r="E39" s="10"/>
    </row>
    <row r="40" spans="1:6" ht="16.5" customHeight="1">
      <c r="A40" s="11" t="s">
        <v>6</v>
      </c>
      <c r="B40" s="12">
        <f>B19</f>
        <v>99.3</v>
      </c>
      <c r="C40" s="10"/>
      <c r="D40" s="10"/>
      <c r="E40" s="10"/>
    </row>
    <row r="41" spans="1:6" ht="16.5" customHeight="1">
      <c r="A41" s="7" t="s">
        <v>7</v>
      </c>
      <c r="B41" s="12">
        <f>B20</f>
        <v>27.22</v>
      </c>
      <c r="C41" s="10"/>
      <c r="D41" s="10"/>
      <c r="E41" s="10"/>
    </row>
    <row r="42" spans="1:6" ht="16.5" customHeight="1">
      <c r="A42" s="7" t="s">
        <v>9</v>
      </c>
      <c r="B42" s="13">
        <f>B21</f>
        <v>0.10888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114150927</v>
      </c>
      <c r="C45" s="18">
        <v>49976.800000000003</v>
      </c>
      <c r="D45" s="19">
        <v>1.1000000000000001</v>
      </c>
      <c r="E45" s="20">
        <v>11.3</v>
      </c>
    </row>
    <row r="46" spans="1:6" ht="16.5" customHeight="1">
      <c r="A46" s="17">
        <v>2</v>
      </c>
      <c r="B46" s="18">
        <v>113785619</v>
      </c>
      <c r="C46" s="18">
        <v>50386.2</v>
      </c>
      <c r="D46" s="19">
        <v>1</v>
      </c>
      <c r="E46" s="19">
        <v>11.3</v>
      </c>
    </row>
    <row r="47" spans="1:6" ht="16.5" customHeight="1">
      <c r="A47" s="17">
        <v>3</v>
      </c>
      <c r="B47" s="18">
        <v>113552589</v>
      </c>
      <c r="C47" s="18">
        <v>52077.2</v>
      </c>
      <c r="D47" s="19">
        <v>1</v>
      </c>
      <c r="E47" s="19">
        <v>11.4</v>
      </c>
    </row>
    <row r="48" spans="1:6" ht="16.5" customHeight="1">
      <c r="A48" s="17">
        <v>4</v>
      </c>
      <c r="B48" s="18">
        <v>114054715</v>
      </c>
      <c r="C48" s="18">
        <v>50402.5</v>
      </c>
      <c r="D48" s="19">
        <v>1.1000000000000001</v>
      </c>
      <c r="E48" s="19">
        <v>11.3</v>
      </c>
    </row>
    <row r="49" spans="1:7" ht="16.5" customHeight="1">
      <c r="A49" s="17">
        <v>5</v>
      </c>
      <c r="B49" s="18">
        <v>114254934</v>
      </c>
      <c r="C49" s="18">
        <v>50596.800000000003</v>
      </c>
      <c r="D49" s="19">
        <v>1.1000000000000001</v>
      </c>
      <c r="E49" s="19">
        <v>11.3</v>
      </c>
    </row>
    <row r="50" spans="1:7" ht="16.5" customHeight="1">
      <c r="A50" s="17">
        <v>6</v>
      </c>
      <c r="B50" s="21">
        <v>113997770</v>
      </c>
      <c r="C50" s="21">
        <v>51266.2</v>
      </c>
      <c r="D50" s="22">
        <v>1</v>
      </c>
      <c r="E50" s="22">
        <v>11.3</v>
      </c>
    </row>
    <row r="51" spans="1:7" ht="16.5" customHeight="1">
      <c r="A51" s="23" t="s">
        <v>17</v>
      </c>
      <c r="B51" s="24">
        <f>AVERAGE(B45:B50)</f>
        <v>113966092.33333333</v>
      </c>
      <c r="C51" s="25">
        <f>AVERAGE(C45:C50)</f>
        <v>50784.283333333333</v>
      </c>
      <c r="D51" s="26">
        <f>AVERAGE(D45:D50)</f>
        <v>1.05</v>
      </c>
      <c r="E51" s="26">
        <f>AVERAGE(E45:E50)</f>
        <v>11.316666666666665</v>
      </c>
    </row>
    <row r="52" spans="1:7" ht="16.5" customHeight="1">
      <c r="A52" s="27" t="s">
        <v>18</v>
      </c>
      <c r="B52" s="28">
        <f>(STDEV(B45:B50)/B51)</f>
        <v>2.2542420724668165E-3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86" t="s">
        <v>25</v>
      </c>
      <c r="C59" s="286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127</v>
      </c>
      <c r="C60" s="48"/>
      <c r="E60" s="282">
        <v>42298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53" sqref="D53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0" t="s">
        <v>30</v>
      </c>
      <c r="B11" s="291"/>
      <c r="C11" s="291"/>
      <c r="D11" s="291"/>
      <c r="E11" s="291"/>
      <c r="F11" s="292"/>
      <c r="G11" s="91"/>
    </row>
    <row r="12" spans="1:7" ht="16.5" customHeight="1">
      <c r="A12" s="289" t="s">
        <v>31</v>
      </c>
      <c r="B12" s="289"/>
      <c r="C12" s="289"/>
      <c r="D12" s="289"/>
      <c r="E12" s="289"/>
      <c r="F12" s="289"/>
      <c r="G12" s="90"/>
    </row>
    <row r="14" spans="1:7" ht="16.5" customHeight="1">
      <c r="A14" s="294" t="s">
        <v>32</v>
      </c>
      <c r="B14" s="294"/>
      <c r="C14" s="60" t="s">
        <v>5</v>
      </c>
    </row>
    <row r="15" spans="1:7" ht="16.5" customHeight="1">
      <c r="A15" s="294" t="s">
        <v>33</v>
      </c>
      <c r="B15" s="294"/>
      <c r="C15" s="60" t="str">
        <f>Efavirenz!B19</f>
        <v>NDQD201508103</v>
      </c>
    </row>
    <row r="16" spans="1:7" ht="16.5" customHeight="1">
      <c r="A16" s="294" t="s">
        <v>34</v>
      </c>
      <c r="B16" s="294"/>
      <c r="C16" s="60" t="s">
        <v>8</v>
      </c>
    </row>
    <row r="17" spans="1:5" ht="16.5" customHeight="1">
      <c r="A17" s="294" t="s">
        <v>35</v>
      </c>
      <c r="B17" s="294"/>
      <c r="C17" s="60" t="s">
        <v>10</v>
      </c>
    </row>
    <row r="18" spans="1:5" ht="16.5" customHeight="1">
      <c r="A18" s="294" t="s">
        <v>36</v>
      </c>
      <c r="B18" s="294"/>
      <c r="C18" s="97" t="s">
        <v>11</v>
      </c>
    </row>
    <row r="19" spans="1:5" ht="16.5" customHeight="1">
      <c r="A19" s="294" t="s">
        <v>37</v>
      </c>
      <c r="B19" s="294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289" t="s">
        <v>1</v>
      </c>
      <c r="B21" s="289"/>
      <c r="C21" s="59" t="s">
        <v>38</v>
      </c>
      <c r="D21" s="66"/>
    </row>
    <row r="22" spans="1:5" ht="15.75" customHeight="1">
      <c r="A22" s="293"/>
      <c r="B22" s="293"/>
      <c r="C22" s="57"/>
      <c r="D22" s="293"/>
      <c r="E22" s="293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358.8</v>
      </c>
      <c r="D24" s="87">
        <f t="shared" ref="D24:D43" si="0">(C24-$C$46)/$C$46</f>
        <v>-1.6743854649091439E-2</v>
      </c>
      <c r="E24" s="53"/>
    </row>
    <row r="25" spans="1:5" ht="15.75" customHeight="1">
      <c r="C25" s="95">
        <v>364.88</v>
      </c>
      <c r="D25" s="88">
        <f t="shared" si="0"/>
        <v>-8.2212052286790489E-5</v>
      </c>
      <c r="E25" s="53"/>
    </row>
    <row r="26" spans="1:5" ht="15.75" customHeight="1">
      <c r="C26" s="95">
        <v>372.9</v>
      </c>
      <c r="D26" s="88">
        <f t="shared" si="0"/>
        <v>2.189580992573514E-2</v>
      </c>
      <c r="E26" s="53"/>
    </row>
    <row r="27" spans="1:5" ht="15.75" customHeight="1">
      <c r="C27" s="95">
        <v>361.8</v>
      </c>
      <c r="D27" s="88">
        <f t="shared" si="0"/>
        <v>-8.5226494204049142E-3</v>
      </c>
      <c r="E27" s="53"/>
    </row>
    <row r="28" spans="1:5" ht="15.75" customHeight="1">
      <c r="C28" s="95">
        <v>363.05</v>
      </c>
      <c r="D28" s="88">
        <f t="shared" si="0"/>
        <v>-5.097147241785528E-3</v>
      </c>
      <c r="E28" s="53"/>
    </row>
    <row r="29" spans="1:5" ht="15.75" customHeight="1">
      <c r="C29" s="95">
        <v>372.04</v>
      </c>
      <c r="D29" s="88">
        <f t="shared" si="0"/>
        <v>1.953906442684512E-2</v>
      </c>
      <c r="E29" s="53"/>
    </row>
    <row r="30" spans="1:5" ht="15.75" customHeight="1">
      <c r="C30" s="95">
        <v>364.49</v>
      </c>
      <c r="D30" s="88">
        <f t="shared" si="0"/>
        <v>-1.1509687320160015E-3</v>
      </c>
      <c r="E30" s="53"/>
    </row>
    <row r="31" spans="1:5" ht="15.75" customHeight="1">
      <c r="C31" s="95">
        <v>368.96</v>
      </c>
      <c r="D31" s="88">
        <f t="shared" si="0"/>
        <v>1.1098627058726841E-2</v>
      </c>
      <c r="E31" s="53"/>
    </row>
    <row r="32" spans="1:5" ht="15.75" customHeight="1">
      <c r="C32" s="95">
        <v>362.02</v>
      </c>
      <c r="D32" s="88">
        <f t="shared" si="0"/>
        <v>-7.9197610369679834E-3</v>
      </c>
      <c r="E32" s="53"/>
    </row>
    <row r="33" spans="1:7" ht="15.75" customHeight="1">
      <c r="C33" s="95">
        <v>367.45</v>
      </c>
      <c r="D33" s="88">
        <f t="shared" si="0"/>
        <v>6.9606204269546485E-3</v>
      </c>
      <c r="E33" s="53"/>
    </row>
    <row r="34" spans="1:7" ht="15.75" customHeight="1">
      <c r="C34" s="95">
        <v>365.82</v>
      </c>
      <c r="D34" s="88">
        <f t="shared" si="0"/>
        <v>2.4937655860349816E-3</v>
      </c>
      <c r="E34" s="53"/>
    </row>
    <row r="35" spans="1:7" ht="15.75" customHeight="1">
      <c r="C35" s="95">
        <v>362.78</v>
      </c>
      <c r="D35" s="88">
        <f t="shared" si="0"/>
        <v>-5.837055712367421E-3</v>
      </c>
      <c r="E35" s="53"/>
    </row>
    <row r="36" spans="1:7" ht="15.75" customHeight="1">
      <c r="C36" s="95">
        <v>359.58</v>
      </c>
      <c r="D36" s="88">
        <f t="shared" si="0"/>
        <v>-1.4606341289633017E-2</v>
      </c>
      <c r="E36" s="53"/>
    </row>
    <row r="37" spans="1:7" ht="15.75" customHeight="1">
      <c r="C37" s="95">
        <v>363.22</v>
      </c>
      <c r="D37" s="88">
        <f t="shared" si="0"/>
        <v>-4.6312789454932479E-3</v>
      </c>
      <c r="E37" s="53"/>
    </row>
    <row r="38" spans="1:7" ht="15.75" customHeight="1">
      <c r="C38" s="95">
        <v>369.03</v>
      </c>
      <c r="D38" s="88">
        <f t="shared" si="0"/>
        <v>1.1290455180729509E-2</v>
      </c>
      <c r="E38" s="53"/>
    </row>
    <row r="39" spans="1:7" ht="15.75" customHeight="1">
      <c r="C39" s="95">
        <v>358.17</v>
      </c>
      <c r="D39" s="88">
        <f t="shared" si="0"/>
        <v>-1.8470307747115597E-2</v>
      </c>
      <c r="E39" s="53"/>
    </row>
    <row r="40" spans="1:7" ht="15.75" customHeight="1">
      <c r="C40" s="95">
        <v>362.74</v>
      </c>
      <c r="D40" s="88">
        <f t="shared" si="0"/>
        <v>-5.9466717820831419E-3</v>
      </c>
      <c r="E40" s="53"/>
    </row>
    <row r="41" spans="1:7" ht="15.75" customHeight="1">
      <c r="C41" s="95">
        <v>365.69</v>
      </c>
      <c r="D41" s="88">
        <f t="shared" si="0"/>
        <v>2.1375133594585777E-3</v>
      </c>
      <c r="E41" s="53"/>
    </row>
    <row r="42" spans="1:7" ht="15.75" customHeight="1">
      <c r="C42" s="95">
        <v>363.81</v>
      </c>
      <c r="D42" s="88">
        <f t="shared" si="0"/>
        <v>-3.0144419171849661E-3</v>
      </c>
      <c r="E42" s="53"/>
    </row>
    <row r="43" spans="1:7" ht="16.5" customHeight="1">
      <c r="C43" s="96">
        <v>370.97</v>
      </c>
      <c r="D43" s="89">
        <f t="shared" si="0"/>
        <v>1.6606834561946945E-2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7298.2</v>
      </c>
      <c r="D45" s="78"/>
      <c r="E45" s="54"/>
    </row>
    <row r="46" spans="1:7" ht="17.25" customHeight="1">
      <c r="B46" s="82" t="s">
        <v>42</v>
      </c>
      <c r="C46" s="84">
        <f>AVERAGE(C24:C43)</f>
        <v>364.90999999999997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287">
        <f>C46</f>
        <v>364.90999999999997</v>
      </c>
      <c r="C49" s="93">
        <f>-IF(C46&lt;=80,10%,IF(C46&lt;250,7.5%,5%))</f>
        <v>-0.05</v>
      </c>
      <c r="D49" s="81">
        <f>IF(C46&lt;=80,C46*0.9,IF(C46&lt;250,C46*0.925,C46*0.95))</f>
        <v>346.66449999999998</v>
      </c>
    </row>
    <row r="50" spans="1:6" ht="17.25" customHeight="1">
      <c r="B50" s="288"/>
      <c r="C50" s="94">
        <f>IF(C46&lt;=80, 10%, IF(C46&lt;250, 7.5%, 5%))</f>
        <v>0.05</v>
      </c>
      <c r="D50" s="81">
        <f>IF(C46&lt;=80, C46*1.1, IF(C46&lt;250, C46*1.075, C46*1.05))</f>
        <v>383.15549999999996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127</v>
      </c>
      <c r="C53" s="72"/>
      <c r="D53" s="283">
        <v>42298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5" zoomScale="60" zoomScaleNormal="40" zoomScalePageLayoutView="50" workbookViewId="0">
      <selection activeCell="B20" sqref="B20:C20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23" t="s">
        <v>44</v>
      </c>
      <c r="B1" s="323"/>
      <c r="C1" s="323"/>
      <c r="D1" s="323"/>
      <c r="E1" s="323"/>
      <c r="F1" s="323"/>
      <c r="G1" s="323"/>
      <c r="H1" s="323"/>
      <c r="I1" s="323"/>
    </row>
    <row r="2" spans="1:9" ht="18.75" customHeight="1">
      <c r="A2" s="323"/>
      <c r="B2" s="323"/>
      <c r="C2" s="323"/>
      <c r="D2" s="323"/>
      <c r="E2" s="323"/>
      <c r="F2" s="323"/>
      <c r="G2" s="323"/>
      <c r="H2" s="323"/>
      <c r="I2" s="323"/>
    </row>
    <row r="3" spans="1:9" ht="18.75" customHeight="1">
      <c r="A3" s="323"/>
      <c r="B3" s="323"/>
      <c r="C3" s="323"/>
      <c r="D3" s="323"/>
      <c r="E3" s="323"/>
      <c r="F3" s="323"/>
      <c r="G3" s="323"/>
      <c r="H3" s="323"/>
      <c r="I3" s="323"/>
    </row>
    <row r="4" spans="1:9" ht="18.75" customHeight="1">
      <c r="A4" s="323"/>
      <c r="B4" s="323"/>
      <c r="C4" s="323"/>
      <c r="D4" s="323"/>
      <c r="E4" s="323"/>
      <c r="F4" s="323"/>
      <c r="G4" s="323"/>
      <c r="H4" s="323"/>
      <c r="I4" s="323"/>
    </row>
    <row r="5" spans="1:9" ht="18.75" customHeight="1">
      <c r="A5" s="323"/>
      <c r="B5" s="323"/>
      <c r="C5" s="323"/>
      <c r="D5" s="323"/>
      <c r="E5" s="323"/>
      <c r="F5" s="323"/>
      <c r="G5" s="323"/>
      <c r="H5" s="323"/>
      <c r="I5" s="323"/>
    </row>
    <row r="6" spans="1:9" ht="18.75" customHeight="1">
      <c r="A6" s="323"/>
      <c r="B6" s="323"/>
      <c r="C6" s="323"/>
      <c r="D6" s="323"/>
      <c r="E6" s="323"/>
      <c r="F6" s="323"/>
      <c r="G6" s="323"/>
      <c r="H6" s="323"/>
      <c r="I6" s="323"/>
    </row>
    <row r="7" spans="1:9" ht="18.75" customHeight="1">
      <c r="A7" s="323"/>
      <c r="B7" s="323"/>
      <c r="C7" s="323"/>
      <c r="D7" s="323"/>
      <c r="E7" s="323"/>
      <c r="F7" s="323"/>
      <c r="G7" s="323"/>
      <c r="H7" s="323"/>
      <c r="I7" s="323"/>
    </row>
    <row r="8" spans="1:9">
      <c r="A8" s="324" t="s">
        <v>45</v>
      </c>
      <c r="B8" s="324"/>
      <c r="C8" s="324"/>
      <c r="D8" s="324"/>
      <c r="E8" s="324"/>
      <c r="F8" s="324"/>
      <c r="G8" s="324"/>
      <c r="H8" s="324"/>
      <c r="I8" s="324"/>
    </row>
    <row r="9" spans="1:9">
      <c r="A9" s="324"/>
      <c r="B9" s="324"/>
      <c r="C9" s="324"/>
      <c r="D9" s="324"/>
      <c r="E9" s="324"/>
      <c r="F9" s="324"/>
      <c r="G9" s="324"/>
      <c r="H9" s="324"/>
      <c r="I9" s="324"/>
    </row>
    <row r="10" spans="1:9">
      <c r="A10" s="324"/>
      <c r="B10" s="324"/>
      <c r="C10" s="324"/>
      <c r="D10" s="324"/>
      <c r="E10" s="324"/>
      <c r="F10" s="324"/>
      <c r="G10" s="324"/>
      <c r="H10" s="324"/>
      <c r="I10" s="324"/>
    </row>
    <row r="11" spans="1:9">
      <c r="A11" s="324"/>
      <c r="B11" s="324"/>
      <c r="C11" s="324"/>
      <c r="D11" s="324"/>
      <c r="E11" s="324"/>
      <c r="F11" s="324"/>
      <c r="G11" s="324"/>
      <c r="H11" s="324"/>
      <c r="I11" s="324"/>
    </row>
    <row r="12" spans="1:9">
      <c r="A12" s="324"/>
      <c r="B12" s="324"/>
      <c r="C12" s="324"/>
      <c r="D12" s="324"/>
      <c r="E12" s="324"/>
      <c r="F12" s="324"/>
      <c r="G12" s="324"/>
      <c r="H12" s="324"/>
      <c r="I12" s="324"/>
    </row>
    <row r="13" spans="1:9">
      <c r="A13" s="324"/>
      <c r="B13" s="324"/>
      <c r="C13" s="324"/>
      <c r="D13" s="324"/>
      <c r="E13" s="324"/>
      <c r="F13" s="324"/>
      <c r="G13" s="324"/>
      <c r="H13" s="324"/>
      <c r="I13" s="324"/>
    </row>
    <row r="14" spans="1:9">
      <c r="A14" s="324"/>
      <c r="B14" s="324"/>
      <c r="C14" s="324"/>
      <c r="D14" s="324"/>
      <c r="E14" s="324"/>
      <c r="F14" s="324"/>
      <c r="G14" s="324"/>
      <c r="H14" s="324"/>
      <c r="I14" s="324"/>
    </row>
    <row r="15" spans="1:9" ht="19.5" customHeight="1">
      <c r="A15" s="98"/>
    </row>
    <row r="16" spans="1:9" ht="19.5" customHeight="1">
      <c r="A16" s="296" t="s">
        <v>30</v>
      </c>
      <c r="B16" s="297"/>
      <c r="C16" s="297"/>
      <c r="D16" s="297"/>
      <c r="E16" s="297"/>
      <c r="F16" s="297"/>
      <c r="G16" s="297"/>
      <c r="H16" s="298"/>
    </row>
    <row r="17" spans="1:14" ht="20.25" customHeight="1">
      <c r="A17" s="299" t="s">
        <v>46</v>
      </c>
      <c r="B17" s="299"/>
      <c r="C17" s="299"/>
      <c r="D17" s="299"/>
      <c r="E17" s="299"/>
      <c r="F17" s="299"/>
      <c r="G17" s="299"/>
      <c r="H17" s="299"/>
    </row>
    <row r="18" spans="1:14" ht="26.25" customHeight="1">
      <c r="A18" s="100" t="s">
        <v>32</v>
      </c>
      <c r="B18" s="295" t="s">
        <v>5</v>
      </c>
      <c r="C18" s="295"/>
      <c r="D18" s="269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128</v>
      </c>
      <c r="C19" s="271">
        <v>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00" t="s">
        <v>8</v>
      </c>
      <c r="C20" s="300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00" t="s">
        <v>126</v>
      </c>
      <c r="C21" s="300"/>
      <c r="D21" s="300"/>
      <c r="E21" s="300"/>
      <c r="F21" s="300"/>
      <c r="G21" s="300"/>
      <c r="H21" s="300"/>
      <c r="I21" s="104"/>
    </row>
    <row r="22" spans="1:14" ht="26.25" customHeight="1">
      <c r="A22" s="100" t="s">
        <v>36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>
        <v>42278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295" t="s">
        <v>124</v>
      </c>
      <c r="C26" s="295"/>
    </row>
    <row r="27" spans="1:14" ht="26.25" customHeight="1">
      <c r="A27" s="109" t="s">
        <v>47</v>
      </c>
      <c r="B27" s="301" t="s">
        <v>125</v>
      </c>
      <c r="C27" s="301"/>
    </row>
    <row r="28" spans="1:14" ht="27" customHeight="1">
      <c r="A28" s="109" t="s">
        <v>6</v>
      </c>
      <c r="B28" s="110">
        <v>99.3</v>
      </c>
    </row>
    <row r="29" spans="1:14" s="14" customFormat="1" ht="27" customHeight="1">
      <c r="A29" s="109" t="s">
        <v>48</v>
      </c>
      <c r="B29" s="111">
        <v>0</v>
      </c>
      <c r="C29" s="302" t="s">
        <v>49</v>
      </c>
      <c r="D29" s="303"/>
      <c r="E29" s="303"/>
      <c r="F29" s="303"/>
      <c r="G29" s="304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305" t="s">
        <v>52</v>
      </c>
      <c r="D31" s="306"/>
      <c r="E31" s="306"/>
      <c r="F31" s="306"/>
      <c r="G31" s="306"/>
      <c r="H31" s="307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305" t="s">
        <v>54</v>
      </c>
      <c r="D32" s="306"/>
      <c r="E32" s="306"/>
      <c r="F32" s="306"/>
      <c r="G32" s="306"/>
      <c r="H32" s="307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308" t="s">
        <v>58</v>
      </c>
      <c r="E36" s="309"/>
      <c r="F36" s="308" t="s">
        <v>59</v>
      </c>
      <c r="G36" s="310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113260389</v>
      </c>
      <c r="E38" s="133">
        <f>IF(ISBLANK(D38),"-",$D$48/$D$45*D38)</f>
        <v>125707715.58144337</v>
      </c>
      <c r="F38" s="132">
        <v>109797202</v>
      </c>
      <c r="G38" s="134">
        <f>IF(ISBLANK(F38),"-",$D$48/$F$45*F38)</f>
        <v>126996018.8393795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113702115</v>
      </c>
      <c r="E39" s="138">
        <f>IF(ISBLANK(D39),"-",$D$48/$D$45*D39)</f>
        <v>126197987.30718261</v>
      </c>
      <c r="F39" s="137">
        <v>110266027</v>
      </c>
      <c r="G39" s="139">
        <f>IF(ISBLANK(F39),"-",$D$48/$F$45*F39)</f>
        <v>127538281.36927868</v>
      </c>
      <c r="I39" s="312">
        <f>ABS((F43/D43*D42)-F42)/D42</f>
        <v>9.3530317753128776E-3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113785688</v>
      </c>
      <c r="E40" s="138">
        <f>IF(ISBLANK(D40),"-",$D$48/$D$45*D40)</f>
        <v>126290744.98713626</v>
      </c>
      <c r="F40" s="137">
        <v>110101859</v>
      </c>
      <c r="G40" s="139">
        <f>IF(ISBLANK(F40),"-",$D$48/$F$45*F40)</f>
        <v>127348397.8199618</v>
      </c>
      <c r="I40" s="312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113582730.66666667</v>
      </c>
      <c r="E42" s="148">
        <f>AVERAGE(E38:E41)</f>
        <v>126065482.62525408</v>
      </c>
      <c r="F42" s="147">
        <f>AVERAGE(F38:F41)</f>
        <v>110055029.33333333</v>
      </c>
      <c r="G42" s="149">
        <f>AVERAGE(G38:G41)</f>
        <v>127294232.67620666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27.22</v>
      </c>
      <c r="E43" s="140"/>
      <c r="F43" s="152">
        <v>26.12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27.22</v>
      </c>
      <c r="E44" s="155"/>
      <c r="F44" s="154">
        <f>F43*$B$34</f>
        <v>26.12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27.02946</v>
      </c>
      <c r="E45" s="158"/>
      <c r="F45" s="157">
        <f>F44*$B$30/100</f>
        <v>25.937159999999999</v>
      </c>
      <c r="H45" s="150"/>
    </row>
    <row r="46" spans="1:14" ht="19.5" customHeight="1">
      <c r="A46" s="313" t="s">
        <v>77</v>
      </c>
      <c r="B46" s="314"/>
      <c r="C46" s="153" t="s">
        <v>78</v>
      </c>
      <c r="D46" s="159">
        <f>D45/$B$45</f>
        <v>0.10811784000000001</v>
      </c>
      <c r="E46" s="160"/>
      <c r="F46" s="161">
        <f>F45/$B$45</f>
        <v>0.10374863999999999</v>
      </c>
      <c r="H46" s="150"/>
    </row>
    <row r="47" spans="1:14" ht="27" customHeight="1">
      <c r="A47" s="315"/>
      <c r="B47" s="316"/>
      <c r="C47" s="162" t="s">
        <v>79</v>
      </c>
      <c r="D47" s="163">
        <v>0.12</v>
      </c>
      <c r="E47" s="164"/>
      <c r="F47" s="160"/>
      <c r="H47" s="150"/>
    </row>
    <row r="48" spans="1:14" ht="18.75">
      <c r="C48" s="165" t="s">
        <v>80</v>
      </c>
      <c r="D48" s="157">
        <f>D47*$B$45</f>
        <v>30</v>
      </c>
      <c r="F48" s="166"/>
      <c r="H48" s="150"/>
    </row>
    <row r="49" spans="1:12" ht="19.5" customHeight="1">
      <c r="C49" s="167" t="s">
        <v>81</v>
      </c>
      <c r="D49" s="168">
        <f>D48/B34</f>
        <v>30</v>
      </c>
      <c r="F49" s="166"/>
      <c r="H49" s="150"/>
    </row>
    <row r="50" spans="1:12" ht="18.75">
      <c r="C50" s="122" t="s">
        <v>82</v>
      </c>
      <c r="D50" s="169">
        <f>AVERAGE(E38:E41,G38:G41)</f>
        <v>126679857.65073037</v>
      </c>
      <c r="F50" s="170"/>
      <c r="H50" s="150"/>
    </row>
    <row r="51" spans="1:12" ht="18.75">
      <c r="C51" s="124" t="s">
        <v>83</v>
      </c>
      <c r="D51" s="171">
        <f>STDEV(E38:E41,G38:G41)/D50</f>
        <v>5.7060097303235999E-3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film-coated tablet contains Efavirenz 200mg</v>
      </c>
    </row>
    <row r="56" spans="1:12" ht="26.25" customHeight="1">
      <c r="A56" s="177" t="s">
        <v>86</v>
      </c>
      <c r="B56" s="178">
        <v>200</v>
      </c>
      <c r="C56" s="99" t="str">
        <f>B20</f>
        <v>EFAVIRENZ</v>
      </c>
      <c r="H56" s="179"/>
    </row>
    <row r="57" spans="1:12" ht="18.75">
      <c r="A57" s="176" t="s">
        <v>87</v>
      </c>
      <c r="B57" s="270">
        <f>Uniformity!C46</f>
        <v>364.90999999999997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200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3</v>
      </c>
      <c r="C60" s="317" t="s">
        <v>93</v>
      </c>
      <c r="D60" s="320">
        <v>362.94</v>
      </c>
      <c r="E60" s="182">
        <v>1</v>
      </c>
      <c r="F60" s="183">
        <v>123521515</v>
      </c>
      <c r="G60" s="272">
        <f>IF(ISBLANK(F60),"-",(F60/$D$50*$D$47*$B$68)*($B$57/$D$60))</f>
        <v>196.07217602684432</v>
      </c>
      <c r="H60" s="184">
        <f>IF(ISBLANK(F60),"-",G60/$B$56)</f>
        <v>0.98036088013422162</v>
      </c>
      <c r="L60" s="112"/>
    </row>
    <row r="61" spans="1:12" s="14" customFormat="1" ht="26.25" customHeight="1">
      <c r="A61" s="124" t="s">
        <v>94</v>
      </c>
      <c r="B61" s="125">
        <v>25</v>
      </c>
      <c r="C61" s="318"/>
      <c r="D61" s="321"/>
      <c r="E61" s="185">
        <v>2</v>
      </c>
      <c r="F61" s="137">
        <v>124427259</v>
      </c>
      <c r="G61" s="273">
        <f>IF(ISBLANK(F61),"-",(F61/$D$50*$D$47*$B$68)*($B$57/$D$60))</f>
        <v>197.50991095912119</v>
      </c>
      <c r="H61" s="186">
        <f t="shared" ref="H61:H71" si="0">IF(ISBLANK(F61),"-",G61/$B$56)</f>
        <v>0.98754955479560591</v>
      </c>
      <c r="L61" s="112"/>
    </row>
    <row r="62" spans="1:12" s="14" customFormat="1" ht="26.25" customHeight="1">
      <c r="A62" s="124" t="s">
        <v>95</v>
      </c>
      <c r="B62" s="125">
        <v>1</v>
      </c>
      <c r="C62" s="318"/>
      <c r="D62" s="321"/>
      <c r="E62" s="185">
        <v>3</v>
      </c>
      <c r="F62" s="187">
        <v>123399218</v>
      </c>
      <c r="G62" s="273">
        <f>IF(ISBLANK(F62),"-",(F62/$D$50*$D$47*$B$68)*($B$57/$D$60))</f>
        <v>195.87804758766873</v>
      </c>
      <c r="H62" s="186">
        <f t="shared" si="0"/>
        <v>0.97939023793834368</v>
      </c>
      <c r="L62" s="112"/>
    </row>
    <row r="63" spans="1:12" ht="27" customHeight="1">
      <c r="A63" s="124" t="s">
        <v>96</v>
      </c>
      <c r="B63" s="125">
        <v>1</v>
      </c>
      <c r="C63" s="319"/>
      <c r="D63" s="322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317" t="s">
        <v>98</v>
      </c>
      <c r="D64" s="320">
        <v>364.25</v>
      </c>
      <c r="E64" s="182">
        <v>1</v>
      </c>
      <c r="F64" s="183">
        <v>120512866</v>
      </c>
      <c r="G64" s="274">
        <f>IF(ISBLANK(F64),"-",(F64/$D$50*$D$47*$B$68)*($B$57/$D$64))</f>
        <v>190.60840547858393</v>
      </c>
      <c r="H64" s="190">
        <f>IF(ISBLANK(F64),"-",G64/$B$56)</f>
        <v>0.95304202739291966</v>
      </c>
    </row>
    <row r="65" spans="1:8" ht="26.25" customHeight="1">
      <c r="A65" s="124" t="s">
        <v>99</v>
      </c>
      <c r="B65" s="125">
        <v>1</v>
      </c>
      <c r="C65" s="318"/>
      <c r="D65" s="321"/>
      <c r="E65" s="185">
        <v>2</v>
      </c>
      <c r="F65" s="137">
        <v>121000468</v>
      </c>
      <c r="G65" s="275">
        <f>IF(ISBLANK(F65),"-",(F65/$D$50*$D$47*$B$68)*($B$57/$D$64))</f>
        <v>191.37961807034299</v>
      </c>
      <c r="H65" s="191">
        <f t="shared" si="0"/>
        <v>0.95689809035171491</v>
      </c>
    </row>
    <row r="66" spans="1:8" ht="26.25" customHeight="1">
      <c r="A66" s="124" t="s">
        <v>100</v>
      </c>
      <c r="B66" s="125">
        <v>1</v>
      </c>
      <c r="C66" s="318"/>
      <c r="D66" s="321"/>
      <c r="E66" s="185">
        <v>3</v>
      </c>
      <c r="F66" s="137">
        <v>120971382</v>
      </c>
      <c r="G66" s="275">
        <f>IF(ISBLANK(F66),"-",(F66/$D$50*$D$47*$B$68)*($B$57/$D$64))</f>
        <v>191.33361438404981</v>
      </c>
      <c r="H66" s="191">
        <f t="shared" si="0"/>
        <v>0.95666807192024905</v>
      </c>
    </row>
    <row r="67" spans="1:8" ht="27" customHeight="1">
      <c r="A67" s="124" t="s">
        <v>101</v>
      </c>
      <c r="B67" s="125">
        <v>1</v>
      </c>
      <c r="C67" s="319"/>
      <c r="D67" s="322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1666.6666666666667</v>
      </c>
      <c r="C68" s="317" t="s">
        <v>103</v>
      </c>
      <c r="D68" s="320">
        <v>366.51</v>
      </c>
      <c r="E68" s="182">
        <v>1</v>
      </c>
      <c r="F68" s="183">
        <v>123141557</v>
      </c>
      <c r="G68" s="274">
        <f>IF(ISBLANK(F68),"-",(F68/$D$50*$D$47*$B$68)*($B$57/$D$68))</f>
        <v>193.56507752169713</v>
      </c>
      <c r="H68" s="186">
        <f>IF(ISBLANK(F68),"-",G68/$B$56)</f>
        <v>0.96782538760848569</v>
      </c>
    </row>
    <row r="69" spans="1:8" ht="27" customHeight="1">
      <c r="A69" s="172" t="s">
        <v>104</v>
      </c>
      <c r="B69" s="194">
        <f>(D47*B68)/B56*B57</f>
        <v>364.90999999999997</v>
      </c>
      <c r="C69" s="318"/>
      <c r="D69" s="321"/>
      <c r="E69" s="185">
        <v>2</v>
      </c>
      <c r="F69" s="137">
        <v>122812487</v>
      </c>
      <c r="G69" s="275">
        <f>IF(ISBLANK(F69),"-",(F69/$D$50*$D$47*$B$68)*($B$57/$D$68))</f>
        <v>193.0478154242229</v>
      </c>
      <c r="H69" s="186">
        <f t="shared" si="0"/>
        <v>0.96523907712111456</v>
      </c>
    </row>
    <row r="70" spans="1:8" ht="26.25" customHeight="1">
      <c r="A70" s="330" t="s">
        <v>77</v>
      </c>
      <c r="B70" s="331"/>
      <c r="C70" s="318"/>
      <c r="D70" s="321"/>
      <c r="E70" s="185">
        <v>3</v>
      </c>
      <c r="F70" s="137">
        <v>122415273</v>
      </c>
      <c r="G70" s="275">
        <f>IF(ISBLANK(F70),"-",(F70/$D$50*$D$47*$B$68)*($B$57/$D$68))</f>
        <v>192.42343840174701</v>
      </c>
      <c r="H70" s="186">
        <f t="shared" si="0"/>
        <v>0.96211719200873502</v>
      </c>
    </row>
    <row r="71" spans="1:8" ht="27" customHeight="1">
      <c r="A71" s="332"/>
      <c r="B71" s="333"/>
      <c r="C71" s="329"/>
      <c r="D71" s="322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0.96767672436348784</v>
      </c>
    </row>
    <row r="73" spans="1:8" ht="26.25" customHeight="1">
      <c r="C73" s="196"/>
      <c r="D73" s="196"/>
      <c r="E73" s="196"/>
      <c r="F73" s="197"/>
      <c r="G73" s="200" t="s">
        <v>83</v>
      </c>
      <c r="H73" s="277">
        <f>STDEV(H60:H71)/H72</f>
        <v>1.2558290903597794E-2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9</v>
      </c>
    </row>
    <row r="76" spans="1:8" ht="26.25" customHeight="1">
      <c r="A76" s="108" t="s">
        <v>105</v>
      </c>
      <c r="B76" s="204" t="s">
        <v>106</v>
      </c>
      <c r="C76" s="325" t="str">
        <f>B20</f>
        <v>EFAVIRENZ</v>
      </c>
      <c r="D76" s="325"/>
      <c r="E76" s="205" t="s">
        <v>107</v>
      </c>
      <c r="F76" s="205"/>
      <c r="G76" s="206">
        <f>H72</f>
        <v>0.96767672436348784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311" t="str">
        <f>B26</f>
        <v>Efavirenz</v>
      </c>
      <c r="C79" s="311"/>
    </row>
    <row r="80" spans="1:8" ht="26.25" customHeight="1">
      <c r="A80" s="109" t="s">
        <v>47</v>
      </c>
      <c r="B80" s="311" t="str">
        <f>B27</f>
        <v>E15 3</v>
      </c>
      <c r="C80" s="311"/>
    </row>
    <row r="81" spans="1:12" ht="27" customHeight="1">
      <c r="A81" s="109" t="s">
        <v>6</v>
      </c>
      <c r="B81" s="208">
        <f>B28</f>
        <v>99.3</v>
      </c>
    </row>
    <row r="82" spans="1:12" s="14" customFormat="1" ht="27" customHeight="1">
      <c r="A82" s="109" t="s">
        <v>48</v>
      </c>
      <c r="B82" s="111">
        <v>0</v>
      </c>
      <c r="C82" s="302" t="s">
        <v>49</v>
      </c>
      <c r="D82" s="303"/>
      <c r="E82" s="303"/>
      <c r="F82" s="303"/>
      <c r="G82" s="304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305" t="s">
        <v>110</v>
      </c>
      <c r="D84" s="306"/>
      <c r="E84" s="306"/>
      <c r="F84" s="306"/>
      <c r="G84" s="306"/>
      <c r="H84" s="307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305" t="s">
        <v>111</v>
      </c>
      <c r="D85" s="306"/>
      <c r="E85" s="306"/>
      <c r="F85" s="306"/>
      <c r="G85" s="306"/>
      <c r="H85" s="307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308" t="s">
        <v>59</v>
      </c>
      <c r="G89" s="310"/>
    </row>
    <row r="90" spans="1:12" ht="27" customHeight="1">
      <c r="A90" s="124" t="s">
        <v>60</v>
      </c>
      <c r="B90" s="125">
        <v>1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20</v>
      </c>
      <c r="C91" s="213">
        <v>1</v>
      </c>
      <c r="D91" s="334">
        <v>95411536</v>
      </c>
      <c r="E91" s="133">
        <f>IF(ISBLANK(D91),"-",$D$101/$D$98*D91)</f>
        <v>141196362.78342223</v>
      </c>
      <c r="F91" s="334">
        <v>92149816</v>
      </c>
      <c r="G91" s="134">
        <f>IF(ISBLANK(F91),"-",$D$101/$F$98*F91)</f>
        <v>142112422.48573092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335">
        <v>95869146</v>
      </c>
      <c r="E92" s="138">
        <f>IF(ISBLANK(D92),"-",$D$101/$D$98*D92)</f>
        <v>141873564.62171277</v>
      </c>
      <c r="F92" s="335">
        <v>92202010</v>
      </c>
      <c r="G92" s="139">
        <f>IF(ISBLANK(F92),"-",$D$101/$F$98*F92)</f>
        <v>142192915.49267539</v>
      </c>
      <c r="I92" s="312">
        <f>ABS((F96/D96*D95)-F95)/D95</f>
        <v>3.7242699027802842E-3</v>
      </c>
    </row>
    <row r="93" spans="1:12" ht="26.25" customHeight="1">
      <c r="A93" s="124" t="s">
        <v>67</v>
      </c>
      <c r="B93" s="125">
        <v>1</v>
      </c>
      <c r="C93" s="197">
        <v>3</v>
      </c>
      <c r="D93" s="335">
        <v>95873863</v>
      </c>
      <c r="E93" s="138">
        <f>IF(ISBLANK(D93),"-",$D$101/$D$98*D93)</f>
        <v>141880545.15332529</v>
      </c>
      <c r="F93" s="335">
        <v>92267825</v>
      </c>
      <c r="G93" s="139">
        <f>IF(ISBLANK(F93),"-",$D$101/$F$98*F93)</f>
        <v>142294414.65449572</v>
      </c>
      <c r="I93" s="312"/>
    </row>
    <row r="94" spans="1:12" ht="27" customHeight="1">
      <c r="A94" s="124" t="s">
        <v>68</v>
      </c>
      <c r="B94" s="125">
        <v>1</v>
      </c>
      <c r="C94" s="214">
        <v>4</v>
      </c>
      <c r="D94" s="336"/>
      <c r="E94" s="143" t="str">
        <f>IF(ISBLANK(D94),"-",$D$101/$D$98*D94)</f>
        <v>-</v>
      </c>
      <c r="F94" s="337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5" t="s">
        <v>70</v>
      </c>
      <c r="D95" s="216">
        <f>AVERAGE(D91:D94)</f>
        <v>95718181.666666672</v>
      </c>
      <c r="E95" s="148">
        <f>AVERAGE(E91:E94)</f>
        <v>141650157.51948678</v>
      </c>
      <c r="F95" s="217">
        <f>AVERAGE(F91:F94)</f>
        <v>92206550.333333328</v>
      </c>
      <c r="G95" s="218">
        <f>AVERAGE(G91:G94)</f>
        <v>142199917.54430068</v>
      </c>
    </row>
    <row r="96" spans="1:12" ht="26.25" customHeight="1">
      <c r="A96" s="124" t="s">
        <v>71</v>
      </c>
      <c r="B96" s="110">
        <v>1</v>
      </c>
      <c r="C96" s="219" t="s">
        <v>112</v>
      </c>
      <c r="D96" s="220">
        <v>27.22</v>
      </c>
      <c r="E96" s="140"/>
      <c r="F96" s="152">
        <v>26.12</v>
      </c>
    </row>
    <row r="97" spans="1:10" ht="26.25" customHeight="1">
      <c r="A97" s="124" t="s">
        <v>73</v>
      </c>
      <c r="B97" s="110">
        <v>1</v>
      </c>
      <c r="C97" s="221" t="s">
        <v>113</v>
      </c>
      <c r="D97" s="222">
        <f>D96*$B$87</f>
        <v>27.22</v>
      </c>
      <c r="E97" s="155"/>
      <c r="F97" s="154">
        <f>F96*$B$87</f>
        <v>26.12</v>
      </c>
    </row>
    <row r="98" spans="1:10" ht="19.5" customHeight="1">
      <c r="A98" s="124" t="s">
        <v>75</v>
      </c>
      <c r="B98" s="223">
        <f>(B97/B96)*(B95/B94)*(B93/B92)*(B91/B90)*B89</f>
        <v>200</v>
      </c>
      <c r="C98" s="221" t="s">
        <v>114</v>
      </c>
      <c r="D98" s="224">
        <f>D97*$B$83/100</f>
        <v>27.02946</v>
      </c>
      <c r="E98" s="158"/>
      <c r="F98" s="157">
        <f>F97*$B$83/100</f>
        <v>25.937159999999999</v>
      </c>
    </row>
    <row r="99" spans="1:10" ht="19.5" customHeight="1">
      <c r="A99" s="313" t="s">
        <v>77</v>
      </c>
      <c r="B99" s="327"/>
      <c r="C99" s="221" t="s">
        <v>115</v>
      </c>
      <c r="D99" s="225">
        <f>D98/$B$98</f>
        <v>0.1351473</v>
      </c>
      <c r="E99" s="158"/>
      <c r="F99" s="161">
        <f>F98/$B$98</f>
        <v>0.12968579999999999</v>
      </c>
      <c r="G99" s="226"/>
      <c r="H99" s="150"/>
    </row>
    <row r="100" spans="1:10" ht="19.5" customHeight="1">
      <c r="A100" s="315"/>
      <c r="B100" s="328"/>
      <c r="C100" s="221" t="s">
        <v>79</v>
      </c>
      <c r="D100" s="227">
        <f>$B$56/$B$116</f>
        <v>0.2</v>
      </c>
      <c r="F100" s="166"/>
      <c r="G100" s="228"/>
      <c r="H100" s="150"/>
    </row>
    <row r="101" spans="1:10" ht="18.75">
      <c r="C101" s="221" t="s">
        <v>80</v>
      </c>
      <c r="D101" s="222">
        <f>D100*$B$98</f>
        <v>40</v>
      </c>
      <c r="F101" s="166"/>
      <c r="G101" s="226"/>
      <c r="H101" s="150"/>
    </row>
    <row r="102" spans="1:10" ht="19.5" customHeight="1">
      <c r="C102" s="229" t="s">
        <v>81</v>
      </c>
      <c r="D102" s="230">
        <f>D101/B34</f>
        <v>40</v>
      </c>
      <c r="F102" s="170"/>
      <c r="G102" s="226"/>
      <c r="H102" s="150"/>
      <c r="J102" s="231"/>
    </row>
    <row r="103" spans="1:10" ht="18.75">
      <c r="C103" s="232" t="s">
        <v>116</v>
      </c>
      <c r="D103" s="233">
        <f>AVERAGE(E91:E94,G91:G94)</f>
        <v>141925037.53189373</v>
      </c>
      <c r="F103" s="170"/>
      <c r="G103" s="234"/>
      <c r="H103" s="150"/>
      <c r="J103" s="235"/>
    </row>
    <row r="104" spans="1:10" ht="18.75">
      <c r="C104" s="200" t="s">
        <v>83</v>
      </c>
      <c r="D104" s="236">
        <f>STDEV(E91:E94,G91:G94)/D103</f>
        <v>2.7809860615535774E-3</v>
      </c>
      <c r="F104" s="170"/>
      <c r="G104" s="226"/>
      <c r="H104" s="150"/>
      <c r="J104" s="235"/>
    </row>
    <row r="105" spans="1:10" ht="19.5" customHeight="1">
      <c r="C105" s="202" t="s">
        <v>19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>
      <c r="A108" s="124" t="s">
        <v>121</v>
      </c>
      <c r="B108" s="125">
        <v>1</v>
      </c>
      <c r="C108" s="242">
        <v>1</v>
      </c>
      <c r="D108" s="243">
        <v>130932381</v>
      </c>
      <c r="E108" s="278">
        <f t="shared" ref="E108:E113" si="1">IF(ISBLANK(D108),"-",D108/$D$103*$D$100*$B$116)</f>
        <v>184.50920750410452</v>
      </c>
      <c r="F108" s="244">
        <f>IF(ISBLANK(D108), "-", E108/$B$56)</f>
        <v>0.92254603752052267</v>
      </c>
    </row>
    <row r="109" spans="1:10" ht="26.25" customHeight="1">
      <c r="A109" s="124" t="s">
        <v>94</v>
      </c>
      <c r="B109" s="125">
        <v>1</v>
      </c>
      <c r="C109" s="242">
        <v>2</v>
      </c>
      <c r="D109" s="243">
        <v>127451746</v>
      </c>
      <c r="E109" s="279">
        <f t="shared" si="1"/>
        <v>179.60431537156896</v>
      </c>
      <c r="F109" s="245">
        <f t="shared" ref="F109" si="2">IF(ISBLANK(D109), "-", E109/$B$56)</f>
        <v>0.89802157685784478</v>
      </c>
    </row>
    <row r="110" spans="1:10" ht="26.25" customHeight="1">
      <c r="A110" s="124" t="s">
        <v>95</v>
      </c>
      <c r="B110" s="125">
        <v>1</v>
      </c>
      <c r="C110" s="242">
        <v>3</v>
      </c>
      <c r="D110" s="243">
        <v>124635168</v>
      </c>
      <c r="E110" s="279">
        <f t="shared" si="1"/>
        <v>175.63520879392644</v>
      </c>
      <c r="F110" s="245">
        <f>IF(ISBLANK(D110), "-", E110/$B$56)</f>
        <v>0.87817604396963223</v>
      </c>
    </row>
    <row r="111" spans="1:10" ht="26.25" customHeight="1">
      <c r="A111" s="124" t="s">
        <v>96</v>
      </c>
      <c r="B111" s="125">
        <v>1</v>
      </c>
      <c r="C111" s="242">
        <v>4</v>
      </c>
      <c r="D111" s="243">
        <v>127777330</v>
      </c>
      <c r="E111" s="279">
        <f t="shared" si="1"/>
        <v>180.0631265942566</v>
      </c>
      <c r="F111" s="245">
        <f>IF(ISBLANK(D111), "-", E111/$B$56)</f>
        <v>0.90031563297128303</v>
      </c>
    </row>
    <row r="112" spans="1:10" ht="26.25" customHeight="1">
      <c r="A112" s="124" t="s">
        <v>97</v>
      </c>
      <c r="B112" s="125">
        <v>1</v>
      </c>
      <c r="C112" s="242">
        <v>5</v>
      </c>
      <c r="D112" s="243">
        <v>123858524</v>
      </c>
      <c r="E112" s="279">
        <f t="shared" si="1"/>
        <v>174.54076624382253</v>
      </c>
      <c r="F112" s="245">
        <f>IF(ISBLANK(D112), "-", E112/$B$56)</f>
        <v>0.87270383121911266</v>
      </c>
    </row>
    <row r="113" spans="1:10" ht="26.25" customHeight="1">
      <c r="A113" s="124" t="s">
        <v>99</v>
      </c>
      <c r="B113" s="125">
        <v>1</v>
      </c>
      <c r="C113" s="246">
        <v>6</v>
      </c>
      <c r="D113" s="247">
        <v>131591578</v>
      </c>
      <c r="E113" s="280">
        <f t="shared" si="1"/>
        <v>185.43814437312153</v>
      </c>
      <c r="F113" s="248">
        <f>IF(ISBLANK(D113), "-", E113/$B$56)</f>
        <v>0.92719072186560769</v>
      </c>
    </row>
    <row r="114" spans="1:10" ht="26.25" customHeight="1">
      <c r="A114" s="124" t="s">
        <v>100</v>
      </c>
      <c r="B114" s="125">
        <v>1</v>
      </c>
      <c r="C114" s="242"/>
      <c r="D114" s="197"/>
      <c r="E114" s="98"/>
      <c r="F114" s="249"/>
    </row>
    <row r="115" spans="1:10" ht="26.25" customHeight="1">
      <c r="A115" s="124" t="s">
        <v>101</v>
      </c>
      <c r="B115" s="125">
        <v>1</v>
      </c>
      <c r="C115" s="242"/>
      <c r="D115" s="250"/>
      <c r="E115" s="251" t="s">
        <v>70</v>
      </c>
      <c r="F115" s="252">
        <f>AVERAGE(F108:F113)</f>
        <v>0.8998256407340004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3"/>
      <c r="D116" s="254"/>
      <c r="E116" s="215" t="s">
        <v>83</v>
      </c>
      <c r="F116" s="255">
        <f>STDEV(F108:F113)/F115</f>
        <v>2.4714742187612673E-2</v>
      </c>
      <c r="I116" s="98"/>
    </row>
    <row r="117" spans="1:10" ht="27" customHeight="1">
      <c r="A117" s="313" t="s">
        <v>77</v>
      </c>
      <c r="B117" s="314"/>
      <c r="C117" s="256"/>
      <c r="D117" s="257"/>
      <c r="E117" s="258" t="s">
        <v>19</v>
      </c>
      <c r="F117" s="259">
        <f>COUNT(F108:F113)</f>
        <v>6</v>
      </c>
      <c r="I117" s="98"/>
      <c r="J117" s="235"/>
    </row>
    <row r="118" spans="1:10" ht="19.5" customHeight="1">
      <c r="A118" s="315"/>
      <c r="B118" s="316"/>
      <c r="C118" s="98"/>
      <c r="D118" s="98"/>
      <c r="E118" s="98"/>
      <c r="F118" s="197"/>
      <c r="G118" s="98"/>
      <c r="H118" s="98"/>
      <c r="I118" s="98"/>
    </row>
    <row r="119" spans="1:10" ht="18.75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325" t="str">
        <f>B20</f>
        <v>EFAVIRENZ</v>
      </c>
      <c r="D120" s="325"/>
      <c r="E120" s="205" t="s">
        <v>123</v>
      </c>
      <c r="F120" s="205"/>
      <c r="G120" s="206">
        <f>F115</f>
        <v>0.8998256407340004</v>
      </c>
      <c r="H120" s="98"/>
      <c r="I120" s="98"/>
    </row>
    <row r="121" spans="1:10" ht="19.5" customHeight="1">
      <c r="A121" s="260"/>
      <c r="B121" s="260"/>
      <c r="C121" s="261"/>
      <c r="D121" s="261"/>
      <c r="E121" s="261"/>
      <c r="F121" s="261"/>
      <c r="G121" s="261"/>
      <c r="H121" s="261"/>
    </row>
    <row r="122" spans="1:10" ht="18.75">
      <c r="B122" s="326" t="s">
        <v>25</v>
      </c>
      <c r="C122" s="326"/>
      <c r="E122" s="211" t="s">
        <v>26</v>
      </c>
      <c r="F122" s="262"/>
      <c r="G122" s="326" t="s">
        <v>27</v>
      </c>
      <c r="H122" s="326"/>
    </row>
    <row r="123" spans="1:10" ht="69.95" customHeight="1">
      <c r="A123" s="263" t="s">
        <v>28</v>
      </c>
      <c r="B123" s="264" t="s">
        <v>127</v>
      </c>
      <c r="C123" s="264"/>
      <c r="E123" s="284">
        <v>42298</v>
      </c>
      <c r="F123" s="98"/>
      <c r="G123" s="265"/>
      <c r="H123" s="265"/>
    </row>
    <row r="124" spans="1:10" ht="69.95" customHeight="1">
      <c r="A124" s="263" t="s">
        <v>29</v>
      </c>
      <c r="B124" s="266"/>
      <c r="C124" s="266"/>
      <c r="E124" s="266"/>
      <c r="F124" s="98"/>
      <c r="G124" s="267"/>
      <c r="H124" s="267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2015-10-21T12:27:50Z</cp:lastPrinted>
  <dcterms:created xsi:type="dcterms:W3CDTF">2005-07-05T10:19:27Z</dcterms:created>
  <dcterms:modified xsi:type="dcterms:W3CDTF">2015-11-25T13:21:00Z</dcterms:modified>
</cp:coreProperties>
</file>