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30" windowHeight="11445" activeTab="4"/>
  </bookViews>
  <sheets>
    <sheet name="SST" sheetId="1" r:id="rId1"/>
    <sheet name="Uniformity" sheetId="2" r:id="rId2"/>
    <sheet name="Tenofovir Disoproxil Fumarate" sheetId="3" r:id="rId3"/>
    <sheet name="SST (2)" sheetId="4" r:id="rId4"/>
    <sheet name="Lamivudine" sheetId="5" r:id="rId5"/>
  </sheets>
  <externalReferences>
    <externalReference r:id="rId6"/>
  </externalReferences>
  <definedNames>
    <definedName name="_xlnm.Print_Area" localSheetId="4">Lamivudine!$A$1:$I$125</definedName>
    <definedName name="_xlnm.Print_Area" localSheetId="2">'Tenofovir Disoproxil Fumarate'!$A$1:$I$125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H72" i="3" l="1"/>
  <c r="F51" i="1"/>
  <c r="B19" i="1" l="1"/>
  <c r="B20" i="1"/>
  <c r="B21" i="1"/>
  <c r="B30" i="1"/>
  <c r="C30" i="1"/>
  <c r="D30" i="1"/>
  <c r="E30" i="1"/>
  <c r="F30" i="1"/>
  <c r="B41" i="1" l="1"/>
  <c r="B42" i="1" s="1"/>
  <c r="B40" i="1"/>
  <c r="B42" i="4" l="1"/>
  <c r="B21" i="4"/>
  <c r="G91" i="5" l="1"/>
  <c r="B45" i="5" l="1"/>
  <c r="B30" i="5" l="1"/>
  <c r="B87" i="5" l="1"/>
  <c r="D68" i="5" l="1"/>
  <c r="D64" i="5"/>
  <c r="D60" i="5"/>
  <c r="D48" i="5"/>
  <c r="G38" i="5" s="1"/>
  <c r="C120" i="5"/>
  <c r="B116" i="5"/>
  <c r="D100" i="5" s="1"/>
  <c r="B98" i="5"/>
  <c r="F95" i="5"/>
  <c r="D95" i="5"/>
  <c r="F97" i="5"/>
  <c r="B81" i="5"/>
  <c r="B83" i="5" s="1"/>
  <c r="B80" i="5"/>
  <c r="B79" i="5"/>
  <c r="C76" i="5"/>
  <c r="B68" i="5"/>
  <c r="C56" i="5"/>
  <c r="B55" i="5"/>
  <c r="F42" i="5"/>
  <c r="D42" i="5"/>
  <c r="G41" i="5"/>
  <c r="E41" i="5"/>
  <c r="B34" i="5"/>
  <c r="F44" i="5" s="1"/>
  <c r="F45" i="5" s="1"/>
  <c r="B34" i="3"/>
  <c r="B53" i="4"/>
  <c r="E51" i="4"/>
  <c r="D51" i="4"/>
  <c r="C51" i="4"/>
  <c r="B51" i="4"/>
  <c r="B52" i="4" s="1"/>
  <c r="B40" i="4"/>
  <c r="B39" i="4"/>
  <c r="B32" i="4"/>
  <c r="E30" i="4"/>
  <c r="D30" i="4"/>
  <c r="C30" i="4"/>
  <c r="B30" i="4"/>
  <c r="B31" i="4" s="1"/>
  <c r="B39" i="1"/>
  <c r="I92" i="5" l="1"/>
  <c r="D101" i="5"/>
  <c r="D102" i="5" s="1"/>
  <c r="F46" i="5"/>
  <c r="I39" i="5"/>
  <c r="G39" i="5"/>
  <c r="G40" i="5"/>
  <c r="D49" i="5"/>
  <c r="F98" i="5"/>
  <c r="G94" i="5"/>
  <c r="D44" i="5"/>
  <c r="D45" i="5" s="1"/>
  <c r="D97" i="5"/>
  <c r="D98" i="5" s="1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F44" i="3"/>
  <c r="B30" i="3"/>
  <c r="C46" i="2"/>
  <c r="D50" i="2" s="1"/>
  <c r="C45" i="2"/>
  <c r="C19" i="2"/>
  <c r="B53" i="1"/>
  <c r="E51" i="1"/>
  <c r="D51" i="1"/>
  <c r="C51" i="1"/>
  <c r="B51" i="1"/>
  <c r="B52" i="1" s="1"/>
  <c r="B32" i="1"/>
  <c r="B31" i="1"/>
  <c r="D46" i="5" l="1"/>
  <c r="E38" i="5"/>
  <c r="D30" i="2"/>
  <c r="D37" i="2"/>
  <c r="D25" i="2"/>
  <c r="D38" i="2"/>
  <c r="D29" i="2"/>
  <c r="D33" i="2"/>
  <c r="D41" i="2"/>
  <c r="B49" i="2"/>
  <c r="D26" i="2"/>
  <c r="D34" i="2"/>
  <c r="D42" i="2"/>
  <c r="B57" i="3"/>
  <c r="B69" i="3" s="1"/>
  <c r="B57" i="5"/>
  <c r="E38" i="3"/>
  <c r="G38" i="3"/>
  <c r="E91" i="5"/>
  <c r="G93" i="5"/>
  <c r="G92" i="5"/>
  <c r="F97" i="3"/>
  <c r="F98" i="3" s="1"/>
  <c r="G91" i="3" s="1"/>
  <c r="F99" i="5"/>
  <c r="D99" i="5"/>
  <c r="I92" i="3"/>
  <c r="D101" i="3"/>
  <c r="E39" i="5"/>
  <c r="E92" i="5"/>
  <c r="E40" i="5"/>
  <c r="E94" i="5"/>
  <c r="E93" i="5"/>
  <c r="G42" i="5"/>
  <c r="I39" i="3"/>
  <c r="D44" i="3"/>
  <c r="F45" i="3"/>
  <c r="D49" i="3"/>
  <c r="D45" i="3"/>
  <c r="E41" i="3"/>
  <c r="D98" i="3"/>
  <c r="C50" i="2"/>
  <c r="D35" i="2"/>
  <c r="D27" i="2"/>
  <c r="D31" i="2"/>
  <c r="D39" i="2"/>
  <c r="D43" i="2"/>
  <c r="C49" i="2"/>
  <c r="D24" i="2"/>
  <c r="D28" i="2"/>
  <c r="D32" i="2"/>
  <c r="D36" i="2"/>
  <c r="D40" i="2"/>
  <c r="D49" i="2"/>
  <c r="B69" i="5" l="1"/>
  <c r="G95" i="5"/>
  <c r="E91" i="3"/>
  <c r="D102" i="3"/>
  <c r="G92" i="3"/>
  <c r="F99" i="3"/>
  <c r="E94" i="3"/>
  <c r="G93" i="3"/>
  <c r="G94" i="3"/>
  <c r="G39" i="3"/>
  <c r="D46" i="3"/>
  <c r="E42" i="5"/>
  <c r="D52" i="5"/>
  <c r="D50" i="5"/>
  <c r="G60" i="5" s="1"/>
  <c r="H60" i="5" s="1"/>
  <c r="E95" i="5"/>
  <c r="D105" i="5"/>
  <c r="D103" i="5"/>
  <c r="E39" i="3"/>
  <c r="E40" i="3"/>
  <c r="F46" i="3"/>
  <c r="G41" i="3"/>
  <c r="G40" i="3"/>
  <c r="D99" i="3"/>
  <c r="E92" i="3"/>
  <c r="E93" i="3"/>
  <c r="G65" i="5" l="1"/>
  <c r="H65" i="5" s="1"/>
  <c r="G61" i="5"/>
  <c r="H61" i="5" s="1"/>
  <c r="G42" i="3"/>
  <c r="G95" i="3"/>
  <c r="G70" i="5"/>
  <c r="H70" i="5" s="1"/>
  <c r="G66" i="5"/>
  <c r="H66" i="5" s="1"/>
  <c r="G64" i="5"/>
  <c r="H64" i="5" s="1"/>
  <c r="G67" i="5"/>
  <c r="H67" i="5" s="1"/>
  <c r="G68" i="5"/>
  <c r="H68" i="5" s="1"/>
  <c r="D51" i="5"/>
  <c r="G69" i="5"/>
  <c r="H69" i="5" s="1"/>
  <c r="G63" i="5"/>
  <c r="H63" i="5" s="1"/>
  <c r="G62" i="5"/>
  <c r="H62" i="5" s="1"/>
  <c r="G71" i="5"/>
  <c r="H71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D52" i="3"/>
  <c r="E42" i="3"/>
  <c r="D50" i="3"/>
  <c r="G65" i="3" s="1"/>
  <c r="H65" i="3" s="1"/>
  <c r="D103" i="3"/>
  <c r="E95" i="3"/>
  <c r="D105" i="3"/>
  <c r="D51" i="3" l="1"/>
  <c r="E108" i="3"/>
  <c r="F108" i="3" s="1"/>
  <c r="H74" i="5"/>
  <c r="H72" i="5"/>
  <c r="G76" i="5" s="1"/>
  <c r="F115" i="5"/>
  <c r="G120" i="5" s="1"/>
  <c r="F117" i="5"/>
  <c r="G67" i="3"/>
  <c r="H67" i="3" s="1"/>
  <c r="G60" i="3"/>
  <c r="H60" i="3" s="1"/>
  <c r="G69" i="3"/>
  <c r="H69" i="3" s="1"/>
  <c r="G71" i="3"/>
  <c r="H71" i="3" s="1"/>
  <c r="G70" i="3"/>
  <c r="H70" i="3" s="1"/>
  <c r="G62" i="3"/>
  <c r="H62" i="3" s="1"/>
  <c r="G64" i="3"/>
  <c r="H64" i="3" s="1"/>
  <c r="G68" i="3"/>
  <c r="H68" i="3" s="1"/>
  <c r="G61" i="3"/>
  <c r="H61" i="3" s="1"/>
  <c r="G66" i="3"/>
  <c r="H66" i="3" s="1"/>
  <c r="G63" i="3"/>
  <c r="H63" i="3" s="1"/>
  <c r="E112" i="3"/>
  <c r="F112" i="3" s="1"/>
  <c r="E110" i="3"/>
  <c r="F110" i="3" s="1"/>
  <c r="E113" i="3"/>
  <c r="F113" i="3" s="1"/>
  <c r="E111" i="3"/>
  <c r="F111" i="3" s="1"/>
  <c r="E109" i="3"/>
  <c r="F109" i="3" s="1"/>
  <c r="D104" i="3"/>
  <c r="H73" i="5" l="1"/>
  <c r="F116" i="5"/>
  <c r="G76" i="3"/>
  <c r="H74" i="3"/>
  <c r="F115" i="3"/>
  <c r="G120" i="3" s="1"/>
  <c r="F117" i="3"/>
  <c r="H73" i="3" l="1"/>
  <c r="F116" i="3"/>
</calcChain>
</file>

<file path=xl/sharedStrings.xml><?xml version="1.0" encoding="utf-8"?>
<sst xmlns="http://schemas.openxmlformats.org/spreadsheetml/2006/main" count="443" uniqueCount="130">
  <si>
    <t>HPLC System Suitability Report</t>
  </si>
  <si>
    <t>Analysis Data</t>
  </si>
  <si>
    <t>Assay</t>
  </si>
  <si>
    <t>Sample(s)</t>
  </si>
  <si>
    <t>Reference Substance:</t>
  </si>
  <si>
    <t>Lamivudine 300mg and Tenofovir Disoproxil Fumarate 300mg Tablets</t>
  </si>
  <si>
    <t>% age Purity:</t>
  </si>
  <si>
    <t>NDQD201508135</t>
  </si>
  <si>
    <t>Weight (mg):</t>
  </si>
  <si>
    <t>Lamivudine and Tenofovir Disoproxil Fumarate</t>
  </si>
  <si>
    <t>Standard Conc (mg/mL):</t>
  </si>
  <si>
    <t>Each film coated  tablet contains Lamivudine USP 300mg and Tenofovir Disoproxil Fumarate 300mg equivalent to Tenofovir Disproxil 245 mg</t>
  </si>
  <si>
    <t>2015-08-13 08:56:41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</si>
  <si>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</si>
  <si>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</si>
  <si>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</si>
  <si>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</si>
  <si>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</si>
  <si>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</si>
  <si>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</si>
  <si>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</si>
  <si>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</si>
  <si>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</si>
  <si>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</si>
  <si>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</si>
  <si>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</si>
  <si>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</si>
  <si>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</si>
  <si>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</si>
  <si>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</si>
  <si>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</si>
  <si>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</si>
  <si>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</si>
  <si>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</si>
  <si>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</si>
  <si>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</si>
  <si>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</si>
  <si>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</si>
  <si>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</si>
  <si>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</si>
  <si>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</si>
  <si>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</si>
  <si>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</si>
  <si>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</si>
  <si>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</si>
  <si>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</si>
  <si>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</si>
  <si>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</si>
  <si>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</si>
  <si>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</si>
  <si>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</si>
  <si>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</si>
  <si>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</si>
  <si>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</si>
  <si>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</si>
  <si>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</si>
  <si>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</si>
  <si>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</si>
  <si>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</si>
  <si>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</si>
  <si>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</si>
  <si>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</si>
  <si>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</si>
  <si>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</si>
  <si>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</si>
  <si>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</si>
  <si>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</si>
  <si>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</si>
  <si>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</si>
  <si>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</si>
  <si>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</si>
  <si>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</si>
  <si>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</si>
  <si>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</si>
  <si>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</si>
  <si>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</si>
  <si>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</si>
  <si>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</si>
  <si>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</si>
  <si>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</si>
  <si>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</si>
  <si>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</si>
  <si>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</si>
  <si>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</si>
  <si>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</si>
  <si>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</si>
  <si>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</si>
  <si>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</si>
  <si>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</si>
  <si>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</si>
  <si>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</si>
  <si>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</si>
  <si>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</si>
  <si>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</si>
  <si>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</si>
  <si>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</si>
  <si>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</si>
  <si>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</si>
  <si>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</si>
  <si>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</si>
  <si>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</si>
  <si>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</si>
  <si>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</si>
  <si>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</si>
  <si>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</si>
  <si>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</si>
  <si>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</si>
  <si>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</si>
  <si>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</si>
  <si>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</si>
  <si>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</si>
  <si>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</si>
  <si>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</si>
  <si>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</si>
  <si>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</si>
  <si>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</si>
  <si>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</si>
  <si>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</si>
  <si>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</si>
  <si>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</si>
  <si>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</si>
  <si>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</si>
  <si>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</si>
  <si>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</si>
  <si>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</si>
  <si>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 Disoproxil Fumarate</t>
  </si>
  <si>
    <t>Bugigi</t>
  </si>
  <si>
    <t>Lamivudine</t>
  </si>
  <si>
    <t>T11 5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</si>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</sst>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173" fontId="7" fillId="3" borderId="4" xfId="0" applyNumberFormat="1" applyFont="1" applyFill="1" applyBorder="1" applyAlignment="1" applyProtection="1">
      <alignment horizontal="center"/>
      <protection locked="0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09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Tenofovir Disoproxil Fumarate"/>
      <sheetName val="SST (2)"/>
      <sheetName val="Lamivudine"/>
      <sheetName val="SST (3)"/>
      <sheetName val="Efavirenz"/>
      <sheetName val="Sheet1"/>
    </sheetNames>
    <sheetDataSet>
      <sheetData sheetId="0"/>
      <sheetData sheetId="1"/>
      <sheetData sheetId="2">
        <row r="28">
          <cell r="B28">
            <v>99.2</v>
          </cell>
        </row>
        <row r="43">
          <cell r="D43">
            <v>12.45</v>
          </cell>
        </row>
        <row r="45">
          <cell r="B45">
            <v>250</v>
          </cell>
        </row>
        <row r="96">
          <cell r="D96">
            <v>14.09</v>
          </cell>
        </row>
        <row r="98">
          <cell r="B98">
            <v>50</v>
          </cell>
        </row>
      </sheetData>
      <sheetData sheetId="3"/>
      <sheetData sheetId="4"/>
      <sheetData sheetId="5"/>
      <sheetData sheetId="6">
        <row r="43">
          <cell r="D43">
            <v>27.22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5" zoomScale="60" zoomScaleNormal="100" workbookViewId="0">
      <selection activeCell="E51" sqref="E51:F51"/>
    </sheetView>
  </sheetViews>
  <sheetFormatPr defaultRowHeight="13.5"/>
  <cols>
    <col min="1" max="1" width="27.5703125" style="4" customWidth="1"/>
    <col min="2" max="2" width="34.285156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296" t="s">
        <v>0</v>
      </c>
      <c r="B15" s="296"/>
      <c r="C15" s="296"/>
      <c r="D15" s="296"/>
      <c r="E15" s="296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125</v>
      </c>
      <c r="C18" s="10"/>
      <c r="D18" s="10"/>
      <c r="E18" s="10"/>
    </row>
    <row r="19" spans="1:6" ht="16.5" customHeight="1">
      <c r="A19" s="11" t="s">
        <v>6</v>
      </c>
      <c r="B19" s="12">
        <f>'[1]Tenofovir Disoproxil Fumarate'!B28</f>
        <v>99.2</v>
      </c>
      <c r="C19" s="72"/>
      <c r="D19" s="72"/>
      <c r="E19" s="72"/>
      <c r="F19" s="227"/>
    </row>
    <row r="20" spans="1:6" ht="16.5" customHeight="1">
      <c r="A20" s="7" t="s">
        <v>8</v>
      </c>
      <c r="B20" s="150">
        <f>'[1]Tenofovir Disoproxil Fumarate'!D43</f>
        <v>12.45</v>
      </c>
      <c r="C20" s="72"/>
      <c r="D20" s="72"/>
      <c r="E20" s="72"/>
      <c r="F20" s="227"/>
    </row>
    <row r="21" spans="1:6" ht="16.5" customHeight="1">
      <c r="A21" s="7" t="s">
        <v>10</v>
      </c>
      <c r="B21" s="13">
        <f>B20/'[1]Tenofovir Disoproxil Fumarate'!B45</f>
        <v>4.9799999999999997E-2</v>
      </c>
      <c r="C21" s="72"/>
      <c r="D21" s="72"/>
      <c r="E21" s="72"/>
      <c r="F21" s="227"/>
    </row>
    <row r="22" spans="1:6" ht="15.75" customHeight="1">
      <c r="A22" s="10"/>
      <c r="B22" s="72"/>
      <c r="C22" s="72"/>
      <c r="D22" s="72"/>
      <c r="E22" s="72"/>
      <c r="F22" s="227"/>
    </row>
    <row r="23" spans="1:6" ht="16.5" customHeight="1">
      <c r="A23" s="14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129</v>
      </c>
    </row>
    <row r="24" spans="1:6" ht="16.5" customHeight="1">
      <c r="A24" s="17">
        <v>1</v>
      </c>
      <c r="B24" s="18">
        <v>33274735</v>
      </c>
      <c r="C24" s="18">
        <v>94567.2</v>
      </c>
      <c r="D24" s="19">
        <v>1.1000000000000001</v>
      </c>
      <c r="E24" s="20">
        <v>7.9690000000000003</v>
      </c>
      <c r="F24" s="292">
        <v>28.2136</v>
      </c>
    </row>
    <row r="25" spans="1:6" ht="16.5" customHeight="1">
      <c r="A25" s="17">
        <v>2</v>
      </c>
      <c r="B25" s="18">
        <v>33192610</v>
      </c>
      <c r="C25" s="18">
        <v>95216.1</v>
      </c>
      <c r="D25" s="19">
        <v>1</v>
      </c>
      <c r="E25" s="19">
        <v>7.9740000000000002</v>
      </c>
      <c r="F25" s="293">
        <v>28.265370000000001</v>
      </c>
    </row>
    <row r="26" spans="1:6" ht="16.5" customHeight="1">
      <c r="A26" s="17">
        <v>3</v>
      </c>
      <c r="B26" s="18">
        <v>33348917</v>
      </c>
      <c r="C26" s="18">
        <v>95409.4</v>
      </c>
      <c r="D26" s="19">
        <v>1.1000000000000001</v>
      </c>
      <c r="E26" s="19">
        <v>7.9740000000000002</v>
      </c>
      <c r="F26" s="293">
        <v>28.22626</v>
      </c>
    </row>
    <row r="27" spans="1:6" ht="16.5" customHeight="1">
      <c r="A27" s="17">
        <v>4</v>
      </c>
      <c r="B27" s="18">
        <v>33318901</v>
      </c>
      <c r="C27" s="18">
        <v>95184.3</v>
      </c>
      <c r="D27" s="19">
        <v>1.1000000000000001</v>
      </c>
      <c r="E27" s="19">
        <v>7.9740000000000002</v>
      </c>
      <c r="F27" s="293">
        <v>27.768380000000001</v>
      </c>
    </row>
    <row r="28" spans="1:6" ht="16.5" customHeight="1">
      <c r="A28" s="17">
        <v>5</v>
      </c>
      <c r="B28" s="18">
        <v>33353310</v>
      </c>
      <c r="C28" s="18">
        <v>95361.5</v>
      </c>
      <c r="D28" s="19">
        <v>1.1000000000000001</v>
      </c>
      <c r="E28" s="19">
        <v>7.9740000000000002</v>
      </c>
      <c r="F28" s="293">
        <v>28.119420000000002</v>
      </c>
    </row>
    <row r="29" spans="1:6" ht="16.5" customHeight="1">
      <c r="A29" s="17">
        <v>6</v>
      </c>
      <c r="B29" s="21">
        <v>33294673</v>
      </c>
      <c r="C29" s="21">
        <v>96181</v>
      </c>
      <c r="D29" s="22">
        <v>1.1000000000000001</v>
      </c>
      <c r="E29" s="22">
        <v>7.9740000000000002</v>
      </c>
      <c r="F29" s="294">
        <v>27.911020000000001</v>
      </c>
    </row>
    <row r="30" spans="1:6" ht="16.5" customHeight="1">
      <c r="A30" s="23" t="s">
        <v>18</v>
      </c>
      <c r="B30" s="24">
        <f>AVERAGE(B24:B29)</f>
        <v>33297191</v>
      </c>
      <c r="C30" s="25">
        <f>AVERAGE(C24:C29)</f>
        <v>95319.916666666672</v>
      </c>
      <c r="D30" s="26">
        <f>AVERAGE(D24:D29)</f>
        <v>1.0833333333333333</v>
      </c>
      <c r="E30" s="26">
        <f>AVERAGE(E24:E29)</f>
        <v>7.9731666666666667</v>
      </c>
      <c r="F30" s="295">
        <f>AVERAGE(F24:F29)</f>
        <v>28.084008333333333</v>
      </c>
    </row>
    <row r="31" spans="1:6" ht="16.5" customHeight="1">
      <c r="A31" s="27" t="s">
        <v>19</v>
      </c>
      <c r="B31" s="28">
        <f>(STDEV(B24:B29)/B30)</f>
        <v>1.7890961990938022E-3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288" t="str">
        <f>B18</f>
        <v>Tenofovir Disoproxil Fumarate</v>
      </c>
      <c r="C39" s="10"/>
      <c r="D39" s="10"/>
      <c r="E39" s="10"/>
    </row>
    <row r="40" spans="1:6" ht="16.5" customHeight="1">
      <c r="A40" s="11" t="s">
        <v>6</v>
      </c>
      <c r="B40" s="12">
        <f>B19</f>
        <v>99.2</v>
      </c>
      <c r="C40" s="72"/>
      <c r="D40" s="72"/>
      <c r="E40" s="72"/>
      <c r="F40" s="227"/>
    </row>
    <row r="41" spans="1:6" ht="16.5" customHeight="1">
      <c r="A41" s="7" t="s">
        <v>8</v>
      </c>
      <c r="B41" s="12">
        <f>'[1]Tenofovir Disoproxil Fumarate'!D96</f>
        <v>14.09</v>
      </c>
      <c r="C41" s="72"/>
      <c r="D41" s="72"/>
      <c r="E41" s="72"/>
      <c r="F41" s="227"/>
    </row>
    <row r="42" spans="1:6" ht="16.5" customHeight="1">
      <c r="A42" s="7" t="s">
        <v>10</v>
      </c>
      <c r="B42" s="13">
        <f>B41/'[1]Tenofovir Disoproxil Fumarate'!B98</f>
        <v>0.28179999999999999</v>
      </c>
      <c r="C42" s="72"/>
      <c r="D42" s="72"/>
      <c r="E42" s="72"/>
      <c r="F42" s="227"/>
    </row>
    <row r="43" spans="1:6" ht="15.75" customHeight="1">
      <c r="A43" s="10"/>
      <c r="B43" s="72"/>
      <c r="C43" s="72"/>
      <c r="D43" s="72"/>
      <c r="E43" s="72"/>
      <c r="F43" s="227"/>
    </row>
    <row r="44" spans="1:6" ht="16.5" customHeight="1">
      <c r="A44" s="14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16" t="s">
        <v>129</v>
      </c>
    </row>
    <row r="45" spans="1:6" ht="16.5" customHeight="1">
      <c r="A45" s="17">
        <v>1</v>
      </c>
      <c r="B45" s="18">
        <v>88520300</v>
      </c>
      <c r="C45" s="18">
        <v>121741.1</v>
      </c>
      <c r="D45" s="19">
        <v>1.1000000000000001</v>
      </c>
      <c r="E45" s="20">
        <v>8</v>
      </c>
      <c r="F45" s="20">
        <v>24.5</v>
      </c>
    </row>
    <row r="46" spans="1:6" ht="16.5" customHeight="1">
      <c r="A46" s="17">
        <v>2</v>
      </c>
      <c r="B46" s="18">
        <v>88828282</v>
      </c>
      <c r="C46" s="18">
        <v>120509.6</v>
      </c>
      <c r="D46" s="19">
        <v>1</v>
      </c>
      <c r="E46" s="19">
        <v>8</v>
      </c>
      <c r="F46" s="19">
        <v>24.3</v>
      </c>
    </row>
    <row r="47" spans="1:6" ht="16.5" customHeight="1">
      <c r="A47" s="17">
        <v>3</v>
      </c>
      <c r="B47" s="18">
        <v>89013134</v>
      </c>
      <c r="C47" s="18">
        <v>120452.2</v>
      </c>
      <c r="D47" s="19">
        <v>1.1000000000000001</v>
      </c>
      <c r="E47" s="19">
        <v>8</v>
      </c>
      <c r="F47" s="19">
        <v>24.2</v>
      </c>
    </row>
    <row r="48" spans="1:6" ht="16.5" customHeight="1">
      <c r="A48" s="17">
        <v>4</v>
      </c>
      <c r="B48" s="18">
        <v>89050331</v>
      </c>
      <c r="C48" s="18">
        <v>119982.3</v>
      </c>
      <c r="D48" s="19">
        <v>1.1000000000000001</v>
      </c>
      <c r="E48" s="19">
        <v>8</v>
      </c>
      <c r="F48" s="19">
        <v>24.1</v>
      </c>
    </row>
    <row r="49" spans="1:7" ht="16.5" customHeight="1">
      <c r="A49" s="17">
        <v>5</v>
      </c>
      <c r="B49" s="18">
        <v>89141753</v>
      </c>
      <c r="C49" s="18">
        <v>120266.8</v>
      </c>
      <c r="D49" s="19">
        <v>1.1000000000000001</v>
      </c>
      <c r="E49" s="19">
        <v>8</v>
      </c>
      <c r="F49" s="19">
        <v>24.1</v>
      </c>
    </row>
    <row r="50" spans="1:7" ht="16.5" customHeight="1">
      <c r="A50" s="17">
        <v>6</v>
      </c>
      <c r="B50" s="21">
        <v>89183669</v>
      </c>
      <c r="C50" s="21">
        <v>119664.5</v>
      </c>
      <c r="D50" s="22">
        <v>1.1000000000000001</v>
      </c>
      <c r="E50" s="22">
        <v>8</v>
      </c>
      <c r="F50" s="22">
        <v>24</v>
      </c>
    </row>
    <row r="51" spans="1:7" ht="16.5" customHeight="1">
      <c r="A51" s="23" t="s">
        <v>18</v>
      </c>
      <c r="B51" s="24">
        <f>AVERAGE(B45:B50)</f>
        <v>88956244.833333328</v>
      </c>
      <c r="C51" s="25">
        <f>AVERAGE(C45:C50)</f>
        <v>120436.08333333333</v>
      </c>
      <c r="D51" s="26">
        <f>AVERAGE(D45:D50)</f>
        <v>1.0833333333333333</v>
      </c>
      <c r="E51" s="26">
        <f>AVERAGE(E45:E50)</f>
        <v>8</v>
      </c>
      <c r="F51" s="26">
        <f>AVERAGE(F45:F50)</f>
        <v>24.2</v>
      </c>
    </row>
    <row r="52" spans="1:7" ht="16.5" customHeight="1">
      <c r="A52" s="27" t="s">
        <v>19</v>
      </c>
      <c r="B52" s="28">
        <f>(STDEV(B45:B50)/B51)</f>
        <v>2.774829458271445E-3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297" t="s">
        <v>26</v>
      </c>
      <c r="C59" s="297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8" t="s">
        <v>126</v>
      </c>
      <c r="C60" s="48"/>
      <c r="E60" s="289">
        <v>42303</v>
      </c>
      <c r="F60" s="2"/>
      <c r="G60" s="49"/>
    </row>
    <row r="61" spans="1:7" ht="1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54" sqref="D54"/>
    </sheetView>
  </sheetViews>
  <sheetFormatPr defaultRowHeight="15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/>
    <row r="11" spans="1:7" ht="13.5" customHeight="1">
      <c r="A11" s="301" t="s">
        <v>31</v>
      </c>
      <c r="B11" s="302"/>
      <c r="C11" s="302"/>
      <c r="D11" s="302"/>
      <c r="E11" s="302"/>
      <c r="F11" s="303"/>
      <c r="G11" s="91"/>
    </row>
    <row r="12" spans="1:7" ht="16.5" customHeight="1">
      <c r="A12" s="300" t="s">
        <v>32</v>
      </c>
      <c r="B12" s="300"/>
      <c r="C12" s="300"/>
      <c r="D12" s="300"/>
      <c r="E12" s="300"/>
      <c r="F12" s="300"/>
      <c r="G12" s="90"/>
    </row>
    <row r="14" spans="1:7" ht="16.5" customHeight="1">
      <c r="A14" s="305" t="s">
        <v>33</v>
      </c>
      <c r="B14" s="305"/>
      <c r="C14" s="60" t="s">
        <v>5</v>
      </c>
    </row>
    <row r="15" spans="1:7" ht="16.5" customHeight="1">
      <c r="A15" s="305" t="s">
        <v>34</v>
      </c>
      <c r="B15" s="305"/>
      <c r="C15" s="60" t="s">
        <v>7</v>
      </c>
    </row>
    <row r="16" spans="1:7" ht="16.5" customHeight="1">
      <c r="A16" s="305" t="s">
        <v>35</v>
      </c>
      <c r="B16" s="305"/>
      <c r="C16" s="60" t="s">
        <v>9</v>
      </c>
    </row>
    <row r="17" spans="1:5" ht="16.5" customHeight="1">
      <c r="A17" s="305" t="s">
        <v>36</v>
      </c>
      <c r="B17" s="305"/>
      <c r="C17" s="60" t="s">
        <v>11</v>
      </c>
    </row>
    <row r="18" spans="1:5" ht="16.5" customHeight="1">
      <c r="A18" s="305" t="s">
        <v>37</v>
      </c>
      <c r="B18" s="305"/>
      <c r="C18" s="97" t="s">
        <v>12</v>
      </c>
    </row>
    <row r="19" spans="1:5" ht="16.5" customHeight="1">
      <c r="A19" s="305" t="s">
        <v>38</v>
      </c>
      <c r="B19" s="305"/>
      <c r="C19" s="97" t="e">
        <f>#REF!</f>
        <v>#REF!</v>
      </c>
    </row>
    <row r="20" spans="1:5" ht="16.5" customHeight="1">
      <c r="A20" s="62"/>
      <c r="B20" s="62"/>
      <c r="C20" s="77"/>
    </row>
    <row r="21" spans="1:5" ht="16.5" customHeight="1">
      <c r="A21" s="300" t="s">
        <v>1</v>
      </c>
      <c r="B21" s="300"/>
      <c r="C21" s="59" t="s">
        <v>39</v>
      </c>
      <c r="D21" s="66"/>
    </row>
    <row r="22" spans="1:5" ht="15.75" customHeight="1">
      <c r="A22" s="304"/>
      <c r="B22" s="304"/>
      <c r="C22" s="57"/>
      <c r="D22" s="304"/>
      <c r="E22" s="304"/>
    </row>
    <row r="23" spans="1:5" ht="33.75" customHeight="1">
      <c r="C23" s="86" t="s">
        <v>40</v>
      </c>
      <c r="D23" s="85" t="s">
        <v>41</v>
      </c>
      <c r="E23" s="52"/>
    </row>
    <row r="24" spans="1:5" ht="15.75" customHeight="1">
      <c r="C24" s="95">
        <v>1066.22</v>
      </c>
      <c r="D24" s="87">
        <f t="shared" ref="D24:D43" si="0">(C24-$C$46)/$C$46</f>
        <v>9.4734589770634411E-3</v>
      </c>
      <c r="E24" s="53"/>
    </row>
    <row r="25" spans="1:5" ht="15.75" customHeight="1">
      <c r="C25" s="95">
        <v>1054.1500000000001</v>
      </c>
      <c r="D25" s="88">
        <f t="shared" si="0"/>
        <v>-1.9541494431998163E-3</v>
      </c>
      <c r="E25" s="53"/>
    </row>
    <row r="26" spans="1:5" ht="15.75" customHeight="1">
      <c r="C26" s="95">
        <v>1065.43</v>
      </c>
      <c r="D26" s="88">
        <f t="shared" si="0"/>
        <v>8.7255044905673682E-3</v>
      </c>
      <c r="E26" s="53"/>
    </row>
    <row r="27" spans="1:5" ht="15.75" customHeight="1">
      <c r="C27" s="95">
        <v>1049.1600000000001</v>
      </c>
      <c r="D27" s="88">
        <f t="shared" si="0"/>
        <v>-6.6785708199284047E-3</v>
      </c>
      <c r="E27" s="53"/>
    </row>
    <row r="28" spans="1:5" ht="15.75" customHeight="1">
      <c r="C28" s="95">
        <v>1045.04</v>
      </c>
      <c r="D28" s="88">
        <f t="shared" si="0"/>
        <v>-1.0579295483680371E-2</v>
      </c>
      <c r="E28" s="53"/>
    </row>
    <row r="29" spans="1:5" ht="15.75" customHeight="1">
      <c r="C29" s="95">
        <v>1056.6300000000001</v>
      </c>
      <c r="D29" s="88">
        <f t="shared" si="0"/>
        <v>3.938595776993747E-4</v>
      </c>
      <c r="E29" s="53"/>
    </row>
    <row r="30" spans="1:5" ht="15.75" customHeight="1">
      <c r="C30" s="95">
        <v>1062.9100000000001</v>
      </c>
      <c r="D30" s="88">
        <f t="shared" si="0"/>
        <v>6.3396243564279023E-3</v>
      </c>
      <c r="E30" s="53"/>
    </row>
    <row r="31" spans="1:5" ht="15.75" customHeight="1">
      <c r="C31" s="95">
        <v>1049.76</v>
      </c>
      <c r="D31" s="88">
        <f t="shared" si="0"/>
        <v>-6.1105041213238521E-3</v>
      </c>
      <c r="E31" s="53"/>
    </row>
    <row r="32" spans="1:5" ht="15.75" customHeight="1">
      <c r="C32" s="95">
        <v>1050.78</v>
      </c>
      <c r="D32" s="88">
        <f t="shared" si="0"/>
        <v>-5.1447907336959831E-3</v>
      </c>
      <c r="E32" s="53"/>
    </row>
    <row r="33" spans="1:7" ht="15.75" customHeight="1">
      <c r="C33" s="95">
        <v>1056.27</v>
      </c>
      <c r="D33" s="88">
        <f t="shared" si="0"/>
        <v>5.3019558536470846E-5</v>
      </c>
      <c r="E33" s="53"/>
    </row>
    <row r="34" spans="1:7" ht="15.75" customHeight="1">
      <c r="C34" s="95">
        <v>1063.45</v>
      </c>
      <c r="D34" s="88">
        <f t="shared" si="0"/>
        <v>6.8508843851720425E-3</v>
      </c>
      <c r="E34" s="53"/>
    </row>
    <row r="35" spans="1:7" ht="15.75" customHeight="1">
      <c r="C35" s="95">
        <v>1053.67</v>
      </c>
      <c r="D35" s="88">
        <f t="shared" si="0"/>
        <v>-2.4086028020835447E-3</v>
      </c>
      <c r="E35" s="53"/>
    </row>
    <row r="36" spans="1:7" ht="15.75" customHeight="1">
      <c r="C36" s="95">
        <v>1062.69</v>
      </c>
      <c r="D36" s="88">
        <f t="shared" si="0"/>
        <v>6.1313332336061753E-3</v>
      </c>
      <c r="E36" s="53"/>
    </row>
    <row r="37" spans="1:7" ht="15.75" customHeight="1">
      <c r="C37" s="95">
        <v>1058.76</v>
      </c>
      <c r="D37" s="88">
        <f t="shared" si="0"/>
        <v>2.4104963577457309E-3</v>
      </c>
      <c r="E37" s="53"/>
    </row>
    <row r="38" spans="1:7" ht="15.75" customHeight="1">
      <c r="C38" s="95">
        <v>1045.24</v>
      </c>
      <c r="D38" s="88">
        <f t="shared" si="0"/>
        <v>-1.0389939917478781E-2</v>
      </c>
      <c r="E38" s="53"/>
    </row>
    <row r="39" spans="1:7" ht="15.75" customHeight="1">
      <c r="C39" s="95">
        <v>1059.98</v>
      </c>
      <c r="D39" s="88">
        <f t="shared" si="0"/>
        <v>3.565565311575189E-3</v>
      </c>
      <c r="E39" s="53"/>
    </row>
    <row r="40" spans="1:7" ht="15.75" customHeight="1">
      <c r="C40" s="95">
        <v>1059.96</v>
      </c>
      <c r="D40" s="88">
        <f t="shared" si="0"/>
        <v>3.5466297549550515E-3</v>
      </c>
      <c r="E40" s="53"/>
    </row>
    <row r="41" spans="1:7" ht="15.75" customHeight="1">
      <c r="C41" s="95">
        <v>1056.23</v>
      </c>
      <c r="D41" s="88">
        <f t="shared" si="0"/>
        <v>1.5148445296196034E-5</v>
      </c>
      <c r="E41" s="53"/>
    </row>
    <row r="42" spans="1:7" ht="15.75" customHeight="1">
      <c r="C42" s="95">
        <v>1048.94</v>
      </c>
      <c r="D42" s="88">
        <f t="shared" si="0"/>
        <v>-6.8868619427501316E-3</v>
      </c>
      <c r="E42" s="53"/>
    </row>
    <row r="43" spans="1:7" ht="16.5" customHeight="1">
      <c r="C43" s="96">
        <v>1059.01</v>
      </c>
      <c r="D43" s="89">
        <f t="shared" si="0"/>
        <v>2.6471908154976635E-3</v>
      </c>
      <c r="E43" s="53"/>
    </row>
    <row r="44" spans="1:7" ht="16.5" customHeight="1">
      <c r="C44" s="54"/>
      <c r="D44" s="53"/>
      <c r="E44" s="55"/>
    </row>
    <row r="45" spans="1:7" ht="16.5" customHeight="1">
      <c r="B45" s="82" t="s">
        <v>42</v>
      </c>
      <c r="C45" s="83">
        <f>SUM(C24:C44)</f>
        <v>21124.28</v>
      </c>
      <c r="D45" s="78"/>
      <c r="E45" s="54"/>
    </row>
    <row r="46" spans="1:7" ht="17.25" customHeight="1">
      <c r="B46" s="82" t="s">
        <v>43</v>
      </c>
      <c r="C46" s="84">
        <f>AVERAGE(C24:C44)</f>
        <v>1056.2139999999999</v>
      </c>
      <c r="E46" s="56"/>
    </row>
    <row r="47" spans="1:7" ht="17.25" customHeight="1">
      <c r="A47" s="60"/>
      <c r="B47" s="79"/>
      <c r="D47" s="58"/>
      <c r="E47" s="56"/>
    </row>
    <row r="48" spans="1:7" ht="33.75" customHeight="1">
      <c r="B48" s="92" t="s">
        <v>43</v>
      </c>
      <c r="C48" s="85" t="s">
        <v>44</v>
      </c>
      <c r="D48" s="80"/>
      <c r="G48" s="58"/>
    </row>
    <row r="49" spans="1:6" ht="17.25" customHeight="1">
      <c r="B49" s="298">
        <f>C46</f>
        <v>1056.2139999999999</v>
      </c>
      <c r="C49" s="93">
        <f>-IF(C46&lt;=80,10%,IF(C46&lt;250,7.5%,5%))</f>
        <v>-0.05</v>
      </c>
      <c r="D49" s="81">
        <f>IF(C46&lt;=80,C46*0.9,IF(C46&lt;250,C46*0.925,C46*0.95))</f>
        <v>1003.4032999999999</v>
      </c>
    </row>
    <row r="50" spans="1:6" ht="17.25" customHeight="1">
      <c r="B50" s="299"/>
      <c r="C50" s="94">
        <f>IF(C46&lt;=80, 10%, IF(C46&lt;250, 7.5%, 5%))</f>
        <v>0.05</v>
      </c>
      <c r="D50" s="81">
        <f>IF(C46&lt;=80, C46*1.1, IF(C46&lt;250, C46*1.075, C46*1.05))</f>
        <v>1109.0246999999999</v>
      </c>
    </row>
    <row r="51" spans="1:6" ht="16.5" customHeight="1">
      <c r="A51" s="63"/>
      <c r="B51" s="64"/>
      <c r="C51" s="60"/>
      <c r="D51" s="65"/>
      <c r="E51" s="60"/>
      <c r="F51" s="66"/>
    </row>
    <row r="52" spans="1:6" ht="16.5" customHeight="1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>
      <c r="A53" s="70" t="s">
        <v>29</v>
      </c>
      <c r="B53" s="71" t="s">
        <v>126</v>
      </c>
      <c r="C53" s="72"/>
      <c r="D53" s="290">
        <v>42303</v>
      </c>
      <c r="E53" s="61"/>
      <c r="F53" s="73"/>
    </row>
    <row r="54" spans="1:6" ht="34.5" customHeight="1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8" zoomScale="60" zoomScaleNormal="40" zoomScalePageLayoutView="50" workbookViewId="0">
      <selection activeCell="H66" sqref="H66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34" t="s">
        <v>45</v>
      </c>
      <c r="B1" s="334"/>
      <c r="C1" s="334"/>
      <c r="D1" s="334"/>
      <c r="E1" s="334"/>
      <c r="F1" s="334"/>
      <c r="G1" s="334"/>
      <c r="H1" s="334"/>
      <c r="I1" s="334"/>
    </row>
    <row r="2" spans="1:9" ht="18.75" customHeight="1">
      <c r="A2" s="334"/>
      <c r="B2" s="334"/>
      <c r="C2" s="334"/>
      <c r="D2" s="334"/>
      <c r="E2" s="334"/>
      <c r="F2" s="334"/>
      <c r="G2" s="334"/>
      <c r="H2" s="334"/>
      <c r="I2" s="334"/>
    </row>
    <row r="3" spans="1:9" ht="18.75" customHeight="1">
      <c r="A3" s="334"/>
      <c r="B3" s="334"/>
      <c r="C3" s="334"/>
      <c r="D3" s="334"/>
      <c r="E3" s="334"/>
      <c r="F3" s="334"/>
      <c r="G3" s="334"/>
      <c r="H3" s="334"/>
      <c r="I3" s="334"/>
    </row>
    <row r="4" spans="1:9" ht="18.75" customHeight="1">
      <c r="A4" s="334"/>
      <c r="B4" s="334"/>
      <c r="C4" s="334"/>
      <c r="D4" s="334"/>
      <c r="E4" s="334"/>
      <c r="F4" s="334"/>
      <c r="G4" s="334"/>
      <c r="H4" s="334"/>
      <c r="I4" s="334"/>
    </row>
    <row r="5" spans="1:9" ht="18.75" customHeight="1">
      <c r="A5" s="334"/>
      <c r="B5" s="334"/>
      <c r="C5" s="334"/>
      <c r="D5" s="334"/>
      <c r="E5" s="334"/>
      <c r="F5" s="334"/>
      <c r="G5" s="334"/>
      <c r="H5" s="334"/>
      <c r="I5" s="334"/>
    </row>
    <row r="6" spans="1:9" ht="18.75" customHeight="1">
      <c r="A6" s="334"/>
      <c r="B6" s="334"/>
      <c r="C6" s="334"/>
      <c r="D6" s="334"/>
      <c r="E6" s="334"/>
      <c r="F6" s="334"/>
      <c r="G6" s="334"/>
      <c r="H6" s="334"/>
      <c r="I6" s="334"/>
    </row>
    <row r="7" spans="1:9" ht="18.75" customHeight="1">
      <c r="A7" s="334"/>
      <c r="B7" s="334"/>
      <c r="C7" s="334"/>
      <c r="D7" s="334"/>
      <c r="E7" s="334"/>
      <c r="F7" s="334"/>
      <c r="G7" s="334"/>
      <c r="H7" s="334"/>
      <c r="I7" s="334"/>
    </row>
    <row r="8" spans="1:9">
      <c r="A8" s="335" t="s">
        <v>46</v>
      </c>
      <c r="B8" s="335"/>
      <c r="C8" s="335"/>
      <c r="D8" s="335"/>
      <c r="E8" s="335"/>
      <c r="F8" s="335"/>
      <c r="G8" s="335"/>
      <c r="H8" s="335"/>
      <c r="I8" s="335"/>
    </row>
    <row r="9" spans="1:9">
      <c r="A9" s="335"/>
      <c r="B9" s="335"/>
      <c r="C9" s="335"/>
      <c r="D9" s="335"/>
      <c r="E9" s="335"/>
      <c r="F9" s="335"/>
      <c r="G9" s="335"/>
      <c r="H9" s="335"/>
      <c r="I9" s="335"/>
    </row>
    <row r="10" spans="1:9">
      <c r="A10" s="335"/>
      <c r="B10" s="335"/>
      <c r="C10" s="335"/>
      <c r="D10" s="335"/>
      <c r="E10" s="335"/>
      <c r="F10" s="335"/>
      <c r="G10" s="335"/>
      <c r="H10" s="335"/>
      <c r="I10" s="335"/>
    </row>
    <row r="11" spans="1:9">
      <c r="A11" s="335"/>
      <c r="B11" s="335"/>
      <c r="C11" s="335"/>
      <c r="D11" s="335"/>
      <c r="E11" s="335"/>
      <c r="F11" s="335"/>
      <c r="G11" s="335"/>
      <c r="H11" s="335"/>
      <c r="I11" s="335"/>
    </row>
    <row r="12" spans="1:9">
      <c r="A12" s="335"/>
      <c r="B12" s="335"/>
      <c r="C12" s="335"/>
      <c r="D12" s="335"/>
      <c r="E12" s="335"/>
      <c r="F12" s="335"/>
      <c r="G12" s="335"/>
      <c r="H12" s="335"/>
      <c r="I12" s="335"/>
    </row>
    <row r="13" spans="1:9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9">
      <c r="A14" s="335"/>
      <c r="B14" s="335"/>
      <c r="C14" s="335"/>
      <c r="D14" s="335"/>
      <c r="E14" s="335"/>
      <c r="F14" s="335"/>
      <c r="G14" s="335"/>
      <c r="H14" s="335"/>
      <c r="I14" s="335"/>
    </row>
    <row r="15" spans="1:9" ht="19.5" customHeight="1">
      <c r="A15" s="98"/>
    </row>
    <row r="16" spans="1:9" ht="19.5" customHeight="1">
      <c r="A16" s="307" t="s">
        <v>31</v>
      </c>
      <c r="B16" s="308"/>
      <c r="C16" s="308"/>
      <c r="D16" s="308"/>
      <c r="E16" s="308"/>
      <c r="F16" s="308"/>
      <c r="G16" s="308"/>
      <c r="H16" s="309"/>
    </row>
    <row r="17" spans="1:14" ht="20.25" customHeight="1">
      <c r="A17" s="310" t="s">
        <v>47</v>
      </c>
      <c r="B17" s="310"/>
      <c r="C17" s="310"/>
      <c r="D17" s="310"/>
      <c r="E17" s="310"/>
      <c r="F17" s="310"/>
      <c r="G17" s="310"/>
      <c r="H17" s="310"/>
    </row>
    <row r="18" spans="1:14" ht="26.25" customHeight="1">
      <c r="A18" s="100" t="s">
        <v>33</v>
      </c>
      <c r="B18" s="306" t="s">
        <v>5</v>
      </c>
      <c r="C18" s="306"/>
      <c r="D18" s="270"/>
      <c r="E18" s="101"/>
      <c r="F18" s="102"/>
      <c r="G18" s="102"/>
      <c r="H18" s="102"/>
    </row>
    <row r="19" spans="1:14" ht="26.25" customHeight="1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311" t="s">
        <v>125</v>
      </c>
      <c r="C20" s="311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311" t="s">
        <v>11</v>
      </c>
      <c r="C21" s="311"/>
      <c r="D21" s="311"/>
      <c r="E21" s="311"/>
      <c r="F21" s="311"/>
      <c r="G21" s="311"/>
      <c r="H21" s="311"/>
      <c r="I21" s="104"/>
    </row>
    <row r="22" spans="1:14" ht="26.25" customHeight="1">
      <c r="A22" s="100" t="s">
        <v>37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108" t="s">
        <v>4</v>
      </c>
      <c r="B26" s="306" t="s">
        <v>125</v>
      </c>
      <c r="C26" s="306"/>
    </row>
    <row r="27" spans="1:14" ht="26.25" customHeight="1">
      <c r="A27" s="109" t="s">
        <v>48</v>
      </c>
      <c r="B27" s="312" t="s">
        <v>128</v>
      </c>
      <c r="C27" s="312"/>
    </row>
    <row r="28" spans="1:14" ht="27" customHeight="1">
      <c r="A28" s="109" t="s">
        <v>6</v>
      </c>
      <c r="B28" s="110">
        <v>99.2</v>
      </c>
    </row>
    <row r="29" spans="1:14" s="14" customFormat="1" ht="27" customHeight="1">
      <c r="A29" s="109" t="s">
        <v>49</v>
      </c>
      <c r="B29" s="111">
        <v>0</v>
      </c>
      <c r="C29" s="313" t="s">
        <v>50</v>
      </c>
      <c r="D29" s="314"/>
      <c r="E29" s="314"/>
      <c r="F29" s="314"/>
      <c r="G29" s="315"/>
      <c r="I29" s="112"/>
      <c r="J29" s="112"/>
      <c r="K29" s="112"/>
      <c r="L29" s="112"/>
    </row>
    <row r="30" spans="1:14" s="14" customFormat="1" ht="19.5" customHeight="1">
      <c r="A30" s="109" t="s">
        <v>51</v>
      </c>
      <c r="B30" s="113">
        <f>B28-B29</f>
        <v>99.2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>
      <c r="A31" s="109" t="s">
        <v>52</v>
      </c>
      <c r="B31" s="116">
        <v>1</v>
      </c>
      <c r="C31" s="316" t="s">
        <v>53</v>
      </c>
      <c r="D31" s="317"/>
      <c r="E31" s="317"/>
      <c r="F31" s="317"/>
      <c r="G31" s="317"/>
      <c r="H31" s="318"/>
      <c r="I31" s="112"/>
      <c r="J31" s="112"/>
      <c r="K31" s="112"/>
      <c r="L31" s="112"/>
    </row>
    <row r="32" spans="1:14" s="14" customFormat="1" ht="27" customHeight="1">
      <c r="A32" s="109" t="s">
        <v>54</v>
      </c>
      <c r="B32" s="116">
        <v>1</v>
      </c>
      <c r="C32" s="316" t="s">
        <v>55</v>
      </c>
      <c r="D32" s="317"/>
      <c r="E32" s="317"/>
      <c r="F32" s="317"/>
      <c r="G32" s="317"/>
      <c r="H32" s="318"/>
      <c r="I32" s="112"/>
      <c r="J32" s="112"/>
      <c r="K32" s="112"/>
      <c r="L32" s="117"/>
      <c r="M32" s="117"/>
      <c r="N32" s="118"/>
    </row>
    <row r="33" spans="1:14" s="14" customFormat="1" ht="17.25" customHeight="1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>
      <c r="A36" s="122" t="s">
        <v>58</v>
      </c>
      <c r="B36" s="123">
        <v>10</v>
      </c>
      <c r="C36" s="99"/>
      <c r="D36" s="319" t="s">
        <v>59</v>
      </c>
      <c r="E36" s="320"/>
      <c r="F36" s="319" t="s">
        <v>60</v>
      </c>
      <c r="G36" s="321"/>
      <c r="J36" s="112"/>
      <c r="K36" s="112"/>
      <c r="L36" s="117"/>
      <c r="M36" s="117"/>
      <c r="N36" s="118"/>
    </row>
    <row r="37" spans="1:14" s="14" customFormat="1" ht="27" customHeigh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>
      <c r="A38" s="124" t="s">
        <v>66</v>
      </c>
      <c r="B38" s="125">
        <v>25</v>
      </c>
      <c r="C38" s="131">
        <v>1</v>
      </c>
      <c r="D38" s="132">
        <v>33034734</v>
      </c>
      <c r="E38" s="133">
        <f>IF(ISBLANK(D38),"-",$D$48/$D$45*D38)</f>
        <v>40121859.211037695</v>
      </c>
      <c r="F38" s="132">
        <v>35718079</v>
      </c>
      <c r="G38" s="134">
        <f>IF(ISBLANK(F38),"-",$D$48/$F$45*F38)</f>
        <v>40792441.115022898</v>
      </c>
      <c r="I38" s="135"/>
      <c r="J38" s="112"/>
      <c r="K38" s="112"/>
      <c r="L38" s="117"/>
      <c r="M38" s="117"/>
      <c r="N38" s="118"/>
    </row>
    <row r="39" spans="1:14" s="14" customFormat="1" ht="26.25" customHeight="1">
      <c r="A39" s="124" t="s">
        <v>67</v>
      </c>
      <c r="B39" s="125">
        <v>1</v>
      </c>
      <c r="C39" s="136">
        <v>2</v>
      </c>
      <c r="D39" s="137">
        <v>33177260</v>
      </c>
      <c r="E39" s="138">
        <f>IF(ISBLANK(D39),"-",$D$48/$D$45*D39)</f>
        <v>40294962.106490478</v>
      </c>
      <c r="F39" s="137">
        <v>35884349</v>
      </c>
      <c r="G39" s="139">
        <f>IF(ISBLANK(F39),"-",$D$48/$F$45*F39)</f>
        <v>40982332.603425592</v>
      </c>
      <c r="I39" s="323">
        <f>ABS((F43/D43*D42)-F42)/D42</f>
        <v>1.7193688937155237E-2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36">
        <v>3</v>
      </c>
      <c r="D40" s="137">
        <v>33202651</v>
      </c>
      <c r="E40" s="138">
        <f>IF(ISBLANK(D40),"-",$D$48/$D$45*D40)</f>
        <v>40325800.378935091</v>
      </c>
      <c r="F40" s="137">
        <v>35829760</v>
      </c>
      <c r="G40" s="139">
        <f>IF(ISBLANK(F40),"-",$D$48/$F$45*F40)</f>
        <v>40919988.305233404</v>
      </c>
      <c r="I40" s="323"/>
      <c r="L40" s="117"/>
      <c r="M40" s="117"/>
      <c r="N40" s="140"/>
    </row>
    <row r="41" spans="1:14" ht="27" customHeigh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>
      <c r="A42" s="124" t="s">
        <v>70</v>
      </c>
      <c r="B42" s="125">
        <v>1</v>
      </c>
      <c r="C42" s="146" t="s">
        <v>71</v>
      </c>
      <c r="D42" s="147">
        <f>AVERAGE(D38:D41)</f>
        <v>33138215</v>
      </c>
      <c r="E42" s="148">
        <f>AVERAGE(E38:E41)</f>
        <v>40247540.56548775</v>
      </c>
      <c r="F42" s="147">
        <f>AVERAGE(F38:F41)</f>
        <v>35810729.333333336</v>
      </c>
      <c r="G42" s="149">
        <f>AVERAGE(G38:G41)</f>
        <v>40898254.007893965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12.45</v>
      </c>
      <c r="E43" s="140"/>
      <c r="F43" s="152">
        <v>13.24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12.45</v>
      </c>
      <c r="E44" s="155"/>
      <c r="F44" s="154">
        <f>F43*$B$34</f>
        <v>13.24</v>
      </c>
      <c r="H44" s="150"/>
    </row>
    <row r="45" spans="1:14" ht="19.5" customHeigh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12.3504</v>
      </c>
      <c r="E45" s="158"/>
      <c r="F45" s="157">
        <f>F44*$B$30/100</f>
        <v>13.134080000000001</v>
      </c>
      <c r="H45" s="150"/>
    </row>
    <row r="46" spans="1:14" ht="19.5" customHeight="1">
      <c r="A46" s="324" t="s">
        <v>78</v>
      </c>
      <c r="B46" s="325"/>
      <c r="C46" s="153" t="s">
        <v>79</v>
      </c>
      <c r="D46" s="159">
        <f>D45/$B$45</f>
        <v>4.9401600000000004E-2</v>
      </c>
      <c r="E46" s="160"/>
      <c r="F46" s="161">
        <f>F45/$B$45</f>
        <v>5.2536320000000004E-2</v>
      </c>
      <c r="H46" s="150"/>
    </row>
    <row r="47" spans="1:14" ht="27" customHeight="1">
      <c r="A47" s="326"/>
      <c r="B47" s="327"/>
      <c r="C47" s="162" t="s">
        <v>80</v>
      </c>
      <c r="D47" s="163">
        <v>0.06</v>
      </c>
      <c r="E47" s="164"/>
      <c r="F47" s="160"/>
      <c r="H47" s="150"/>
    </row>
    <row r="48" spans="1:14" ht="18.75">
      <c r="C48" s="165" t="s">
        <v>81</v>
      </c>
      <c r="D48" s="157">
        <f>D47*$B$45</f>
        <v>15</v>
      </c>
      <c r="F48" s="166"/>
      <c r="H48" s="150"/>
    </row>
    <row r="49" spans="1:12" ht="19.5" customHeight="1">
      <c r="C49" s="167" t="s">
        <v>82</v>
      </c>
      <c r="D49" s="168">
        <f>D48/B34</f>
        <v>15</v>
      </c>
      <c r="F49" s="166"/>
      <c r="H49" s="150"/>
    </row>
    <row r="50" spans="1:12" ht="18.75">
      <c r="C50" s="122" t="s">
        <v>83</v>
      </c>
      <c r="D50" s="169">
        <f>AVERAGE(E38:E41,G38:G41)</f>
        <v>40572897.286690861</v>
      </c>
      <c r="F50" s="170"/>
      <c r="H50" s="150"/>
    </row>
    <row r="51" spans="1:12" ht="18.75">
      <c r="C51" s="124" t="s">
        <v>84</v>
      </c>
      <c r="D51" s="171">
        <f>STDEV(E38:E41,G38:G41)/D50</f>
        <v>9.0763150102768485E-3</v>
      </c>
      <c r="F51" s="170"/>
      <c r="H51" s="150"/>
    </row>
    <row r="52" spans="1:12" ht="19.5" customHeigh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99" t="s">
        <v>86</v>
      </c>
      <c r="B55" s="176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87</v>
      </c>
      <c r="B56" s="178">
        <v>300</v>
      </c>
      <c r="C56" s="99" t="str">
        <f>B20</f>
        <v>Tenofovir Disoproxil Fumarate</v>
      </c>
      <c r="H56" s="179"/>
    </row>
    <row r="57" spans="1:12" ht="18.75">
      <c r="A57" s="176" t="s">
        <v>88</v>
      </c>
      <c r="B57" s="271">
        <f>Uniformity!C46</f>
        <v>1056.2139999999999</v>
      </c>
      <c r="H57" s="179"/>
    </row>
    <row r="58" spans="1:12" ht="19.5" customHeight="1">
      <c r="H58" s="179"/>
    </row>
    <row r="59" spans="1:12" s="14" customFormat="1" ht="27" customHeight="1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>
      <c r="A60" s="124" t="s">
        <v>93</v>
      </c>
      <c r="B60" s="125">
        <v>5</v>
      </c>
      <c r="C60" s="328" t="s">
        <v>94</v>
      </c>
      <c r="D60" s="331">
        <v>1056.76</v>
      </c>
      <c r="E60" s="182">
        <v>1</v>
      </c>
      <c r="F60" s="183">
        <v>39379840</v>
      </c>
      <c r="G60" s="273">
        <f>IF(ISBLANK(F60),"-",(F60/$D$50*$D$47*$B$68)*($B$57/$D$60))</f>
        <v>291.02797267305334</v>
      </c>
      <c r="H60" s="184">
        <f>IF(ISBLANK(F60),"-",G60/$B$56)</f>
        <v>0.97009324224351112</v>
      </c>
      <c r="L60" s="112"/>
    </row>
    <row r="61" spans="1:12" s="14" customFormat="1" ht="26.25" customHeight="1">
      <c r="A61" s="124" t="s">
        <v>95</v>
      </c>
      <c r="B61" s="125">
        <v>250</v>
      </c>
      <c r="C61" s="329"/>
      <c r="D61" s="332"/>
      <c r="E61" s="185">
        <v>2</v>
      </c>
      <c r="F61" s="137">
        <v>39368898</v>
      </c>
      <c r="G61" s="274">
        <f>IF(ISBLANK(F61),"-",(F61/$D$50*$D$47*$B$68)*($B$57/$D$60))</f>
        <v>290.94710824909964</v>
      </c>
      <c r="H61" s="186">
        <f t="shared" ref="H61:H71" si="0">IF(ISBLANK(F61),"-",G61/$B$56)</f>
        <v>0.96982369416366543</v>
      </c>
      <c r="L61" s="112"/>
    </row>
    <row r="62" spans="1:12" s="14" customFormat="1" ht="26.25" customHeight="1">
      <c r="A62" s="124" t="s">
        <v>96</v>
      </c>
      <c r="B62" s="125">
        <v>1</v>
      </c>
      <c r="C62" s="329"/>
      <c r="D62" s="332"/>
      <c r="E62" s="185">
        <v>3</v>
      </c>
      <c r="F62" s="187">
        <v>39676440</v>
      </c>
      <c r="G62" s="274">
        <f>IF(ISBLANK(F62),"-",(F62/$D$50*$D$47*$B$68)*($B$57/$D$60))</f>
        <v>293.21992918417243</v>
      </c>
      <c r="H62" s="186">
        <f t="shared" si="0"/>
        <v>0.97739976394724148</v>
      </c>
      <c r="L62" s="112"/>
    </row>
    <row r="63" spans="1:12" ht="27" customHeight="1">
      <c r="A63" s="124" t="s">
        <v>97</v>
      </c>
      <c r="B63" s="125">
        <v>1</v>
      </c>
      <c r="C63" s="330"/>
      <c r="D63" s="333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328" t="s">
        <v>99</v>
      </c>
      <c r="D64" s="331">
        <v>1046.96</v>
      </c>
      <c r="E64" s="182">
        <v>1</v>
      </c>
      <c r="F64" s="183">
        <v>38687995</v>
      </c>
      <c r="G64" s="275">
        <f>IF(ISBLANK(F64),"-",(F64/$D$50*$D$47*$B$68)*($B$57/$D$64))</f>
        <v>288.59133457855722</v>
      </c>
      <c r="H64" s="190">
        <f>IF(ISBLANK(F64),"-",G64/$B$56)</f>
        <v>0.96197111526185741</v>
      </c>
    </row>
    <row r="65" spans="1:8" ht="26.25" customHeight="1">
      <c r="A65" s="124" t="s">
        <v>100</v>
      </c>
      <c r="B65" s="125">
        <v>1</v>
      </c>
      <c r="C65" s="329"/>
      <c r="D65" s="332"/>
      <c r="E65" s="185">
        <v>2</v>
      </c>
      <c r="F65" s="137">
        <v>39273575</v>
      </c>
      <c r="G65" s="276">
        <f>IF(ISBLANK(F65),"-",(F65/$D$50*$D$47*$B$68)*($B$57/$D$64))</f>
        <v>292.9594418868453</v>
      </c>
      <c r="H65" s="191">
        <f t="shared" si="0"/>
        <v>0.97653147295615095</v>
      </c>
    </row>
    <row r="66" spans="1:8" ht="26.25" customHeight="1">
      <c r="A66" s="124" t="s">
        <v>101</v>
      </c>
      <c r="B66" s="125">
        <v>1</v>
      </c>
      <c r="C66" s="329"/>
      <c r="D66" s="332"/>
      <c r="E66" s="185">
        <v>3</v>
      </c>
      <c r="F66" s="137">
        <v>38191895</v>
      </c>
      <c r="G66" s="276">
        <f>IF(ISBLANK(F66),"-",(F66/$D$50*$D$47*$B$68)*($B$57/$D$64))</f>
        <v>284.89069925009363</v>
      </c>
      <c r="H66" s="191">
        <f t="shared" si="0"/>
        <v>0.94963566416697875</v>
      </c>
    </row>
    <row r="67" spans="1:8" ht="27" customHeight="1">
      <c r="A67" s="124" t="s">
        <v>102</v>
      </c>
      <c r="B67" s="125">
        <v>1</v>
      </c>
      <c r="C67" s="330"/>
      <c r="D67" s="333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328" t="s">
        <v>104</v>
      </c>
      <c r="D68" s="331">
        <v>1056.58</v>
      </c>
      <c r="E68" s="182">
        <v>1</v>
      </c>
      <c r="F68" s="183">
        <v>38395348</v>
      </c>
      <c r="G68" s="275">
        <f>IF(ISBLANK(F68),"-",(F68/$D$50*$D$47*$B$68)*($B$57/$D$68))</f>
        <v>283.8006432366011</v>
      </c>
      <c r="H68" s="186">
        <f>IF(ISBLANK(F68),"-",G68/$B$56)</f>
        <v>0.94600214412200367</v>
      </c>
    </row>
    <row r="69" spans="1:8" ht="27" customHeight="1">
      <c r="A69" s="172" t="s">
        <v>105</v>
      </c>
      <c r="B69" s="194">
        <f>(D47*B68)/B56*B57</f>
        <v>1056.2139999999999</v>
      </c>
      <c r="C69" s="329"/>
      <c r="D69" s="332"/>
      <c r="E69" s="185">
        <v>2</v>
      </c>
      <c r="F69" s="137">
        <v>39195257</v>
      </c>
      <c r="G69" s="276">
        <f>IF(ISBLANK(F69),"-",(F69/$D$50*$D$47*$B$68)*($B$57/$D$68))</f>
        <v>289.71320037062543</v>
      </c>
      <c r="H69" s="186">
        <f>IF(ISBLANK(F69),"-",G69/$B$56)</f>
        <v>0.96571066790208482</v>
      </c>
    </row>
    <row r="70" spans="1:8" ht="26.25" customHeight="1">
      <c r="A70" s="341" t="s">
        <v>78</v>
      </c>
      <c r="B70" s="342"/>
      <c r="C70" s="329"/>
      <c r="D70" s="332"/>
      <c r="E70" s="185">
        <v>3</v>
      </c>
      <c r="F70" s="137">
        <v>37747534</v>
      </c>
      <c r="G70" s="276">
        <f>IF(ISBLANK(F70),"-",(F70/$D$50*$D$47*$B$68)*($B$57/$D$68))</f>
        <v>279.01230195375416</v>
      </c>
      <c r="H70" s="186">
        <f t="shared" si="0"/>
        <v>0.93004100651251387</v>
      </c>
    </row>
    <row r="71" spans="1:8" ht="27" customHeight="1">
      <c r="A71" s="343"/>
      <c r="B71" s="344"/>
      <c r="C71" s="340"/>
      <c r="D71" s="333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0.96080097458622327</v>
      </c>
    </row>
    <row r="73" spans="1:8" ht="26.25" customHeight="1">
      <c r="C73" s="196"/>
      <c r="D73" s="196"/>
      <c r="E73" s="196"/>
      <c r="F73" s="197"/>
      <c r="G73" s="200" t="s">
        <v>84</v>
      </c>
      <c r="H73" s="278">
        <f>STDEV(H60:H71)/H72</f>
        <v>1.6481310985930708E-2</v>
      </c>
    </row>
    <row r="74" spans="1:8" ht="27" customHeight="1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9</v>
      </c>
    </row>
    <row r="76" spans="1:8" ht="26.25" customHeight="1">
      <c r="A76" s="108" t="s">
        <v>106</v>
      </c>
      <c r="B76" s="204" t="s">
        <v>107</v>
      </c>
      <c r="C76" s="336" t="str">
        <f>B20</f>
        <v>Tenofovir Disoproxil Fumarate</v>
      </c>
      <c r="D76" s="336"/>
      <c r="E76" s="205" t="s">
        <v>108</v>
      </c>
      <c r="F76" s="205"/>
      <c r="G76" s="206">
        <f>H72</f>
        <v>0.96080097458622327</v>
      </c>
      <c r="H76" s="207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108" t="s">
        <v>4</v>
      </c>
      <c r="B79" s="322" t="str">
        <f>B26</f>
        <v>Tenofovir Disoproxil Fumarate</v>
      </c>
      <c r="C79" s="322"/>
    </row>
    <row r="80" spans="1:8" ht="26.25" customHeight="1">
      <c r="A80" s="109" t="s">
        <v>48</v>
      </c>
      <c r="B80" s="322" t="str">
        <f>B27</f>
        <v>T11 5</v>
      </c>
      <c r="C80" s="322"/>
    </row>
    <row r="81" spans="1:12" ht="27" customHeight="1">
      <c r="A81" s="109" t="s">
        <v>6</v>
      </c>
      <c r="B81" s="208">
        <f>B28</f>
        <v>99.2</v>
      </c>
    </row>
    <row r="82" spans="1:12" s="14" customFormat="1" ht="27" customHeight="1">
      <c r="A82" s="109" t="s">
        <v>49</v>
      </c>
      <c r="B82" s="111">
        <v>0</v>
      </c>
      <c r="C82" s="313" t="s">
        <v>50</v>
      </c>
      <c r="D82" s="314"/>
      <c r="E82" s="314"/>
      <c r="F82" s="314"/>
      <c r="G82" s="315"/>
      <c r="I82" s="112"/>
      <c r="J82" s="112"/>
      <c r="K82" s="112"/>
      <c r="L82" s="112"/>
    </row>
    <row r="83" spans="1:12" s="14" customFormat="1" ht="19.5" customHeight="1">
      <c r="A83" s="109" t="s">
        <v>51</v>
      </c>
      <c r="B83" s="113">
        <f>B81-B82</f>
        <v>99.2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>
      <c r="A84" s="109" t="s">
        <v>52</v>
      </c>
      <c r="B84" s="116">
        <v>1</v>
      </c>
      <c r="C84" s="316" t="s">
        <v>111</v>
      </c>
      <c r="D84" s="317"/>
      <c r="E84" s="317"/>
      <c r="F84" s="317"/>
      <c r="G84" s="317"/>
      <c r="H84" s="318"/>
      <c r="I84" s="112"/>
      <c r="J84" s="112"/>
      <c r="K84" s="112"/>
      <c r="L84" s="112"/>
    </row>
    <row r="85" spans="1:12" s="14" customFormat="1" ht="27" customHeight="1">
      <c r="A85" s="109" t="s">
        <v>54</v>
      </c>
      <c r="B85" s="116">
        <v>1</v>
      </c>
      <c r="C85" s="316" t="s">
        <v>112</v>
      </c>
      <c r="D85" s="317"/>
      <c r="E85" s="317"/>
      <c r="F85" s="317"/>
      <c r="G85" s="317"/>
      <c r="H85" s="318"/>
      <c r="I85" s="112"/>
      <c r="J85" s="112"/>
      <c r="K85" s="112"/>
      <c r="L85" s="112"/>
    </row>
    <row r="86" spans="1:12" s="14" customFormat="1" ht="18.7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>
      <c r="A88" s="107"/>
      <c r="B88" s="107"/>
    </row>
    <row r="89" spans="1:12" ht="27" customHeight="1">
      <c r="A89" s="122" t="s">
        <v>58</v>
      </c>
      <c r="B89" s="123">
        <v>10</v>
      </c>
      <c r="D89" s="209" t="s">
        <v>59</v>
      </c>
      <c r="E89" s="210"/>
      <c r="F89" s="319" t="s">
        <v>60</v>
      </c>
      <c r="G89" s="321"/>
    </row>
    <row r="90" spans="1:12" ht="27" customHeight="1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132">
        <v>88451526</v>
      </c>
      <c r="E91" s="133">
        <f>IF(ISBLANK(D91),"-",$D$101/$D$98*D91)</f>
        <v>94923539.486938789</v>
      </c>
      <c r="F91" s="132">
        <v>95208023</v>
      </c>
      <c r="G91" s="134">
        <f>IF(ISBLANK(F91),"-",$D$101/$F$98*F91)</f>
        <v>95848032.260749117</v>
      </c>
      <c r="I91" s="135"/>
    </row>
    <row r="92" spans="1:12" ht="26.25" customHeight="1">
      <c r="A92" s="124" t="s">
        <v>67</v>
      </c>
      <c r="B92" s="125">
        <v>1</v>
      </c>
      <c r="C92" s="197">
        <v>2</v>
      </c>
      <c r="D92" s="137">
        <v>88372328</v>
      </c>
      <c r="E92" s="138">
        <f>IF(ISBLANK(D92),"-",$D$101/$D$98*D92)</f>
        <v>94838546.555553004</v>
      </c>
      <c r="F92" s="137">
        <v>95217190</v>
      </c>
      <c r="G92" s="139">
        <f>IF(ISBLANK(F92),"-",$D$101/$F$98*F92)</f>
        <v>95857260.883338362</v>
      </c>
      <c r="I92" s="323">
        <f>ABS((F96/D96*D95)-F95)/D95</f>
        <v>1.0988933581419896E-2</v>
      </c>
    </row>
    <row r="93" spans="1:12" ht="26.25" customHeight="1">
      <c r="A93" s="124" t="s">
        <v>68</v>
      </c>
      <c r="B93" s="125">
        <v>1</v>
      </c>
      <c r="C93" s="197">
        <v>3</v>
      </c>
      <c r="D93" s="137">
        <v>88630162</v>
      </c>
      <c r="E93" s="138">
        <f>IF(ISBLANK(D93),"-",$D$101/$D$98*D93)</f>
        <v>95115246.314018175</v>
      </c>
      <c r="F93" s="137">
        <v>95466955</v>
      </c>
      <c r="G93" s="139">
        <f>IF(ISBLANK(F93),"-",$D$101/$F$98*F93)</f>
        <v>96108704.858575672</v>
      </c>
      <c r="I93" s="323"/>
    </row>
    <row r="94" spans="1:12" ht="27" customHeigh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>
      <c r="A95" s="124" t="s">
        <v>70</v>
      </c>
      <c r="B95" s="125">
        <v>1</v>
      </c>
      <c r="C95" s="216" t="s">
        <v>71</v>
      </c>
      <c r="D95" s="217">
        <f>AVERAGE(D91:D94)</f>
        <v>88484672</v>
      </c>
      <c r="E95" s="148">
        <f>AVERAGE(E91:E94)</f>
        <v>94959110.785503328</v>
      </c>
      <c r="F95" s="218">
        <f>AVERAGE(F91:F94)</f>
        <v>95297389.333333328</v>
      </c>
      <c r="G95" s="219">
        <f>AVERAGE(G91:G94)</f>
        <v>95937999.33422105</v>
      </c>
    </row>
    <row r="96" spans="1:12" ht="26.25" customHeight="1">
      <c r="A96" s="124" t="s">
        <v>72</v>
      </c>
      <c r="B96" s="110">
        <v>1</v>
      </c>
      <c r="C96" s="220" t="s">
        <v>113</v>
      </c>
      <c r="D96" s="221">
        <v>14.09</v>
      </c>
      <c r="E96" s="140"/>
      <c r="F96" s="152">
        <v>15.02</v>
      </c>
    </row>
    <row r="97" spans="1:10" ht="26.25" customHeight="1">
      <c r="A97" s="124" t="s">
        <v>74</v>
      </c>
      <c r="B97" s="110">
        <v>1</v>
      </c>
      <c r="C97" s="222" t="s">
        <v>114</v>
      </c>
      <c r="D97" s="223">
        <f>D96*$B$87</f>
        <v>14.09</v>
      </c>
      <c r="E97" s="155"/>
      <c r="F97" s="154">
        <f>F96*$B$87</f>
        <v>15.02</v>
      </c>
    </row>
    <row r="98" spans="1:10" ht="19.5" customHeight="1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13.97728</v>
      </c>
      <c r="E98" s="158"/>
      <c r="F98" s="157">
        <f>F97*$B$83/100</f>
        <v>14.899839999999999</v>
      </c>
    </row>
    <row r="99" spans="1:10" ht="19.5" customHeight="1">
      <c r="A99" s="324" t="s">
        <v>78</v>
      </c>
      <c r="B99" s="338"/>
      <c r="C99" s="222" t="s">
        <v>116</v>
      </c>
      <c r="D99" s="226">
        <f>D98/$B$98</f>
        <v>0.27954560000000001</v>
      </c>
      <c r="E99" s="158"/>
      <c r="F99" s="161">
        <f>F98/$B$98</f>
        <v>0.29799680000000001</v>
      </c>
      <c r="G99" s="227"/>
      <c r="H99" s="150"/>
    </row>
    <row r="100" spans="1:10" ht="19.5" customHeight="1">
      <c r="A100" s="326"/>
      <c r="B100" s="339"/>
      <c r="C100" s="222" t="s">
        <v>80</v>
      </c>
      <c r="D100" s="228">
        <f>$B$56/$B$116</f>
        <v>0.3</v>
      </c>
      <c r="F100" s="166"/>
      <c r="G100" s="229"/>
      <c r="H100" s="150"/>
    </row>
    <row r="101" spans="1:10" ht="18.75">
      <c r="C101" s="222" t="s">
        <v>81</v>
      </c>
      <c r="D101" s="223">
        <f>D100*$B$98</f>
        <v>15</v>
      </c>
      <c r="F101" s="166"/>
      <c r="G101" s="227"/>
      <c r="H101" s="150"/>
    </row>
    <row r="102" spans="1:10" ht="19.5" customHeight="1">
      <c r="C102" s="230" t="s">
        <v>82</v>
      </c>
      <c r="D102" s="231">
        <f>D101/B34</f>
        <v>15</v>
      </c>
      <c r="F102" s="170"/>
      <c r="G102" s="227"/>
      <c r="H102" s="150"/>
      <c r="J102" s="232"/>
    </row>
    <row r="103" spans="1:10" ht="18.75">
      <c r="C103" s="233" t="s">
        <v>117</v>
      </c>
      <c r="D103" s="234">
        <f>AVERAGE(E91:E94,G91:G94)</f>
        <v>95448555.059862196</v>
      </c>
      <c r="F103" s="170"/>
      <c r="G103" s="235"/>
      <c r="H103" s="150"/>
      <c r="J103" s="236"/>
    </row>
    <row r="104" spans="1:10" ht="18.75">
      <c r="C104" s="200" t="s">
        <v>84</v>
      </c>
      <c r="D104" s="237">
        <f>STDEV(E91:E94,G91:G94)/D103</f>
        <v>5.7789417548531922E-3</v>
      </c>
      <c r="F104" s="170"/>
      <c r="G104" s="227"/>
      <c r="H104" s="150"/>
      <c r="J104" s="236"/>
    </row>
    <row r="105" spans="1:10" ht="19.5" customHeight="1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>
      <c r="A108" s="124" t="s">
        <v>122</v>
      </c>
      <c r="B108" s="125">
        <v>1</v>
      </c>
      <c r="C108" s="243">
        <v>1</v>
      </c>
      <c r="D108" s="244">
        <v>82001630</v>
      </c>
      <c r="E108" s="279">
        <f>IF(ISBLANK(D108),"-",D108/$D$103*$D$100*$B$116)</f>
        <v>257.73558315860708</v>
      </c>
      <c r="F108" s="245">
        <f>IF(ISBLANK(D108), "-", E108/$B$56)</f>
        <v>0.85911861052869032</v>
      </c>
    </row>
    <row r="109" spans="1:10" ht="26.25" customHeight="1">
      <c r="A109" s="124" t="s">
        <v>95</v>
      </c>
      <c r="B109" s="125">
        <v>1</v>
      </c>
      <c r="C109" s="243">
        <v>2</v>
      </c>
      <c r="D109" s="244">
        <v>82020847</v>
      </c>
      <c r="E109" s="280">
        <f t="shared" ref="E109:E113" si="1">IF(ISBLANK(D109),"-",D109/$D$103*$D$100*$B$116)</f>
        <v>257.79598323481974</v>
      </c>
      <c r="F109" s="246">
        <f>IF(ISBLANK(D109), "-", E109/$B$56)</f>
        <v>0.85931994411606583</v>
      </c>
    </row>
    <row r="110" spans="1:10" ht="26.25" customHeight="1">
      <c r="A110" s="124" t="s">
        <v>96</v>
      </c>
      <c r="B110" s="125">
        <v>1</v>
      </c>
      <c r="C110" s="243">
        <v>3</v>
      </c>
      <c r="D110" s="244">
        <v>80991357</v>
      </c>
      <c r="E110" s="280">
        <f t="shared" si="1"/>
        <v>254.5602401708592</v>
      </c>
      <c r="F110" s="246">
        <f>IF(ISBLANK(D110), "-", E110/$B$56)</f>
        <v>0.84853413390286403</v>
      </c>
    </row>
    <row r="111" spans="1:10" ht="26.25" customHeight="1">
      <c r="A111" s="124" t="s">
        <v>97</v>
      </c>
      <c r="B111" s="125">
        <v>1</v>
      </c>
      <c r="C111" s="243">
        <v>4</v>
      </c>
      <c r="D111" s="244">
        <v>81281929</v>
      </c>
      <c r="E111" s="280">
        <f t="shared" si="1"/>
        <v>255.47352377107006</v>
      </c>
      <c r="F111" s="246">
        <f t="shared" ref="F111:F113" si="2">IF(ISBLANK(D111), "-", E111/$B$56)</f>
        <v>0.85157841257023359</v>
      </c>
    </row>
    <row r="112" spans="1:10" ht="26.25" customHeight="1">
      <c r="A112" s="124" t="s">
        <v>98</v>
      </c>
      <c r="B112" s="125">
        <v>1</v>
      </c>
      <c r="C112" s="243">
        <v>5</v>
      </c>
      <c r="D112" s="244">
        <v>81644303</v>
      </c>
      <c r="E112" s="280">
        <f t="shared" si="1"/>
        <v>256.61248496259174</v>
      </c>
      <c r="F112" s="246">
        <f>IF(ISBLANK(D112), "-", E112/$B$56)</f>
        <v>0.85537494987530582</v>
      </c>
    </row>
    <row r="113" spans="1:10" ht="26.25" customHeight="1">
      <c r="A113" s="124" t="s">
        <v>100</v>
      </c>
      <c r="B113" s="125">
        <v>1</v>
      </c>
      <c r="C113" s="247">
        <v>6</v>
      </c>
      <c r="D113" s="248">
        <v>81342439</v>
      </c>
      <c r="E113" s="281">
        <f t="shared" si="1"/>
        <v>255.66370999220899</v>
      </c>
      <c r="F113" s="249">
        <f t="shared" si="2"/>
        <v>0.85221236664069666</v>
      </c>
    </row>
    <row r="114" spans="1:10" ht="26.25" customHeight="1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0.85435640293897597</v>
      </c>
    </row>
    <row r="116" spans="1:10" ht="27" customHeight="1">
      <c r="A116" s="124" t="s">
        <v>103</v>
      </c>
      <c r="B116" s="156">
        <f>(B115/B114)*(B113/B112)*(B111/B110)*(B109/B108)*B107</f>
        <v>1000</v>
      </c>
      <c r="C116" s="254"/>
      <c r="D116" s="255"/>
      <c r="E116" s="216" t="s">
        <v>84</v>
      </c>
      <c r="F116" s="256">
        <f>STDEV(F108:F113)/F115</f>
        <v>5.090293563340168E-3</v>
      </c>
      <c r="I116" s="98"/>
    </row>
    <row r="117" spans="1:10" ht="27" customHeight="1">
      <c r="A117" s="324" t="s">
        <v>78</v>
      </c>
      <c r="B117" s="325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>
      <c r="A118" s="326"/>
      <c r="B118" s="327"/>
      <c r="C118" s="98"/>
      <c r="D118" s="98"/>
      <c r="E118" s="98"/>
      <c r="F118" s="197"/>
      <c r="G118" s="98"/>
      <c r="H118" s="98"/>
      <c r="I118" s="98"/>
    </row>
    <row r="119" spans="1:10" ht="18.75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>
      <c r="A120" s="108" t="s">
        <v>106</v>
      </c>
      <c r="B120" s="204" t="s">
        <v>123</v>
      </c>
      <c r="C120" s="336" t="str">
        <f>B20</f>
        <v>Tenofovir Disoproxil Fumarate</v>
      </c>
      <c r="D120" s="336"/>
      <c r="E120" s="205" t="s">
        <v>124</v>
      </c>
      <c r="F120" s="205"/>
      <c r="G120" s="206">
        <f>F115</f>
        <v>0.85435640293897597</v>
      </c>
      <c r="H120" s="98"/>
      <c r="I120" s="98"/>
    </row>
    <row r="121" spans="1:10" ht="19.5" customHeight="1">
      <c r="A121" s="261"/>
      <c r="B121" s="261"/>
      <c r="C121" s="262"/>
      <c r="D121" s="262"/>
      <c r="E121" s="262"/>
      <c r="F121" s="262"/>
      <c r="G121" s="262"/>
      <c r="H121" s="262"/>
    </row>
    <row r="122" spans="1:10" ht="18.75">
      <c r="B122" s="337" t="s">
        <v>26</v>
      </c>
      <c r="C122" s="337"/>
      <c r="E122" s="211" t="s">
        <v>27</v>
      </c>
      <c r="F122" s="263"/>
      <c r="G122" s="337" t="s">
        <v>28</v>
      </c>
      <c r="H122" s="337"/>
    </row>
    <row r="123" spans="1:10" ht="69.95" customHeight="1">
      <c r="A123" s="264" t="s">
        <v>29</v>
      </c>
      <c r="B123" s="265" t="s">
        <v>126</v>
      </c>
      <c r="C123" s="265"/>
      <c r="E123" s="291">
        <v>42303</v>
      </c>
      <c r="F123" s="98"/>
      <c r="G123" s="266"/>
      <c r="H123" s="266"/>
    </row>
    <row r="124" spans="1:10" ht="69.95" customHeight="1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60" zoomScaleNormal="100" workbookViewId="0">
      <selection activeCell="B45" sqref="B45:E50"/>
    </sheetView>
  </sheetViews>
  <sheetFormatPr defaultRowHeight="13.5"/>
  <cols>
    <col min="1" max="1" width="27.5703125" style="227" customWidth="1"/>
    <col min="2" max="2" width="34.28515625" style="227" customWidth="1"/>
    <col min="3" max="3" width="31.85546875" style="227" customWidth="1"/>
    <col min="4" max="4" width="25.85546875" style="227" customWidth="1"/>
    <col min="5" max="5" width="25.7109375" style="227" customWidth="1"/>
    <col min="6" max="6" width="23.140625" style="227" customWidth="1"/>
    <col min="7" max="7" width="28.42578125" style="227" customWidth="1"/>
    <col min="8" max="8" width="21.5703125" style="227" customWidth="1"/>
    <col min="9" max="9" width="9.140625" style="227" customWidth="1"/>
    <col min="10" max="16384" width="9.140625" style="44"/>
  </cols>
  <sheetData>
    <row r="14" spans="1:6" ht="15" customHeight="1">
      <c r="A14" s="1"/>
      <c r="C14" s="3"/>
      <c r="F14" s="3"/>
    </row>
    <row r="15" spans="1:6" ht="18.75" customHeight="1">
      <c r="A15" s="296" t="s">
        <v>0</v>
      </c>
      <c r="B15" s="296"/>
      <c r="C15" s="296"/>
      <c r="D15" s="296"/>
      <c r="E15" s="296"/>
    </row>
    <row r="16" spans="1:6" ht="16.5" customHeight="1">
      <c r="A16" s="90" t="s">
        <v>1</v>
      </c>
      <c r="B16" s="59" t="s">
        <v>2</v>
      </c>
    </row>
    <row r="17" spans="1:5" ht="16.5" customHeight="1">
      <c r="A17" s="8" t="s">
        <v>3</v>
      </c>
      <c r="B17" s="8" t="s">
        <v>5</v>
      </c>
      <c r="D17" s="9"/>
      <c r="E17" s="72"/>
    </row>
    <row r="18" spans="1:5" ht="16.5" customHeight="1">
      <c r="A18" s="75" t="s">
        <v>4</v>
      </c>
      <c r="B18" s="12" t="s">
        <v>127</v>
      </c>
      <c r="C18" s="72"/>
      <c r="D18" s="72"/>
      <c r="E18" s="72"/>
    </row>
    <row r="19" spans="1:5" ht="16.5" customHeight="1">
      <c r="A19" s="75" t="s">
        <v>6</v>
      </c>
      <c r="B19" s="12">
        <v>101.74</v>
      </c>
      <c r="C19" s="72"/>
      <c r="D19" s="72"/>
      <c r="E19" s="72"/>
    </row>
    <row r="20" spans="1:5" ht="16.5" customHeight="1">
      <c r="A20" s="8" t="s">
        <v>8</v>
      </c>
      <c r="B20" s="9">
        <v>17.68</v>
      </c>
      <c r="C20" s="72"/>
      <c r="D20" s="72"/>
      <c r="E20" s="72"/>
    </row>
    <row r="21" spans="1:5" ht="16.5" customHeight="1">
      <c r="A21" s="8" t="s">
        <v>10</v>
      </c>
      <c r="B21" s="13">
        <f>B20/10*1/25</f>
        <v>7.0720000000000005E-2</v>
      </c>
      <c r="C21" s="72"/>
      <c r="D21" s="72"/>
      <c r="E21" s="72"/>
    </row>
    <row r="22" spans="1:5" ht="15.75" customHeight="1">
      <c r="A22" s="72"/>
      <c r="B22" s="72"/>
      <c r="C22" s="72"/>
      <c r="D22" s="72"/>
      <c r="E22" s="72"/>
    </row>
    <row r="23" spans="1:5" ht="16.5" customHeight="1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>
      <c r="A24" s="17">
        <v>1</v>
      </c>
      <c r="B24" s="18">
        <v>64163478</v>
      </c>
      <c r="C24" s="18">
        <v>4310</v>
      </c>
      <c r="D24" s="19">
        <v>0.8</v>
      </c>
      <c r="E24" s="20">
        <v>3.4990000000000001</v>
      </c>
    </row>
    <row r="25" spans="1:5" ht="16.5" customHeight="1">
      <c r="A25" s="17">
        <v>2</v>
      </c>
      <c r="B25" s="18">
        <v>64387027</v>
      </c>
      <c r="C25" s="18">
        <v>4359.7</v>
      </c>
      <c r="D25" s="19">
        <v>0.8</v>
      </c>
      <c r="E25" s="19">
        <v>3.5089999999999999</v>
      </c>
    </row>
    <row r="26" spans="1:5" ht="16.5" customHeight="1">
      <c r="A26" s="17">
        <v>3</v>
      </c>
      <c r="B26" s="18">
        <v>64780244</v>
      </c>
      <c r="C26" s="18">
        <v>4363.6000000000004</v>
      </c>
      <c r="D26" s="19">
        <v>0.8</v>
      </c>
      <c r="E26" s="19">
        <v>3.5139999999999998</v>
      </c>
    </row>
    <row r="27" spans="1:5" ht="16.5" customHeight="1">
      <c r="A27" s="17">
        <v>4</v>
      </c>
      <c r="B27" s="18">
        <v>66156474</v>
      </c>
      <c r="C27" s="18">
        <v>4418.6000000000004</v>
      </c>
      <c r="D27" s="19">
        <v>0.8</v>
      </c>
      <c r="E27" s="19">
        <v>3.5619999999999998</v>
      </c>
    </row>
    <row r="28" spans="1:5" ht="16.5" customHeight="1">
      <c r="A28" s="17">
        <v>5</v>
      </c>
      <c r="B28" s="18">
        <v>65151325</v>
      </c>
      <c r="C28" s="18">
        <v>4341.8</v>
      </c>
      <c r="D28" s="19">
        <v>0.8</v>
      </c>
      <c r="E28" s="19">
        <v>3.5190000000000001</v>
      </c>
    </row>
    <row r="29" spans="1:5" ht="16.5" customHeight="1">
      <c r="A29" s="17">
        <v>6</v>
      </c>
      <c r="B29" s="21">
        <v>65898535</v>
      </c>
      <c r="C29" s="21">
        <v>4384.3</v>
      </c>
      <c r="D29" s="22">
        <v>0.8</v>
      </c>
      <c r="E29" s="22">
        <v>3.548</v>
      </c>
    </row>
    <row r="30" spans="1:5" ht="16.5" customHeight="1">
      <c r="A30" s="23" t="s">
        <v>18</v>
      </c>
      <c r="B30" s="24">
        <f>AVERAGE(B24:B29)</f>
        <v>65089513.833333336</v>
      </c>
      <c r="C30" s="25">
        <f>AVERAGE(C24:C29)</f>
        <v>4363</v>
      </c>
      <c r="D30" s="26">
        <f>AVERAGE(D24:D29)</f>
        <v>0.79999999999999993</v>
      </c>
      <c r="E30" s="26">
        <f>AVERAGE(E24:E29)</f>
        <v>3.5251666666666672</v>
      </c>
    </row>
    <row r="31" spans="1:5" ht="16.5" customHeight="1">
      <c r="A31" s="27" t="s">
        <v>19</v>
      </c>
      <c r="B31" s="28">
        <f>(STDEV(B24:B29)/B30)</f>
        <v>1.2373866288992796E-2</v>
      </c>
      <c r="C31" s="29"/>
      <c r="D31" s="29"/>
      <c r="E31" s="30"/>
    </row>
    <row r="32" spans="1:5" s="227" customFormat="1" ht="16.5" customHeight="1">
      <c r="A32" s="31" t="s">
        <v>20</v>
      </c>
      <c r="B32" s="32">
        <f>COUNT(B24:B29)</f>
        <v>6</v>
      </c>
      <c r="C32" s="33"/>
      <c r="D32" s="73"/>
      <c r="E32" s="35"/>
    </row>
    <row r="33" spans="1:5" s="227" customFormat="1" ht="15.75" customHeight="1">
      <c r="A33" s="72"/>
      <c r="B33" s="72"/>
      <c r="C33" s="72"/>
      <c r="D33" s="72"/>
      <c r="E33" s="72"/>
    </row>
    <row r="34" spans="1:5" s="227" customFormat="1" ht="16.5" customHeight="1">
      <c r="A34" s="75" t="s">
        <v>21</v>
      </c>
      <c r="B34" s="40" t="s">
        <v>22</v>
      </c>
      <c r="C34" s="39"/>
      <c r="D34" s="39"/>
      <c r="E34" s="39"/>
    </row>
    <row r="35" spans="1:5" ht="16.5" customHeight="1">
      <c r="A35" s="75"/>
      <c r="B35" s="40" t="s">
        <v>23</v>
      </c>
      <c r="C35" s="39"/>
      <c r="D35" s="39"/>
      <c r="E35" s="39"/>
    </row>
    <row r="36" spans="1:5" ht="16.5" customHeight="1">
      <c r="A36" s="75"/>
      <c r="B36" s="40" t="s">
        <v>24</v>
      </c>
      <c r="C36" s="39"/>
      <c r="D36" s="39"/>
      <c r="E36" s="39"/>
    </row>
    <row r="37" spans="1:5" ht="15.75" customHeight="1">
      <c r="A37" s="72"/>
      <c r="B37" s="72"/>
      <c r="C37" s="72"/>
      <c r="D37" s="72"/>
      <c r="E37" s="72"/>
    </row>
    <row r="38" spans="1:5" ht="16.5" customHeight="1">
      <c r="A38" s="90" t="s">
        <v>1</v>
      </c>
      <c r="B38" s="59" t="s">
        <v>25</v>
      </c>
    </row>
    <row r="39" spans="1:5" ht="16.5" customHeight="1">
      <c r="A39" s="75" t="s">
        <v>4</v>
      </c>
      <c r="B39" s="288" t="str">
        <f>B18</f>
        <v>Lamivudine</v>
      </c>
      <c r="C39" s="72"/>
      <c r="D39" s="72"/>
      <c r="E39" s="72"/>
    </row>
    <row r="40" spans="1:5" ht="16.5" customHeight="1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>
      <c r="A41" s="8" t="s">
        <v>8</v>
      </c>
      <c r="B41" s="12">
        <v>13.26</v>
      </c>
      <c r="C41" s="72"/>
      <c r="D41" s="72"/>
      <c r="E41" s="72"/>
    </row>
    <row r="42" spans="1:5" ht="16.5" customHeight="1">
      <c r="A42" s="8" t="s">
        <v>10</v>
      </c>
      <c r="B42" s="13">
        <f>B41/10*3/25</f>
        <v>0.15912000000000001</v>
      </c>
      <c r="C42" s="72"/>
      <c r="D42" s="72"/>
      <c r="E42" s="72"/>
    </row>
    <row r="43" spans="1:5" ht="15.75" customHeight="1">
      <c r="A43" s="72"/>
      <c r="B43" s="72"/>
      <c r="C43" s="72"/>
      <c r="D43" s="72"/>
      <c r="E43" s="72"/>
    </row>
    <row r="44" spans="1:5" ht="16.5" customHeight="1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>
      <c r="A45" s="17">
        <v>1</v>
      </c>
      <c r="B45" s="18">
        <v>75860844</v>
      </c>
      <c r="C45" s="18">
        <v>2712.9</v>
      </c>
      <c r="D45" s="19">
        <v>0.8</v>
      </c>
      <c r="E45" s="20">
        <v>3.5</v>
      </c>
    </row>
    <row r="46" spans="1:5" ht="16.5" customHeight="1">
      <c r="A46" s="17">
        <v>2</v>
      </c>
      <c r="B46" s="18">
        <v>77946603</v>
      </c>
      <c r="C46" s="18">
        <v>2645.1</v>
      </c>
      <c r="D46" s="19">
        <v>0.8</v>
      </c>
      <c r="E46" s="19">
        <v>3.5</v>
      </c>
    </row>
    <row r="47" spans="1:5" ht="16.5" customHeight="1">
      <c r="A47" s="17">
        <v>3</v>
      </c>
      <c r="B47" s="18">
        <v>78603342</v>
      </c>
      <c r="C47" s="18">
        <v>2644.9</v>
      </c>
      <c r="D47" s="19">
        <v>0.8</v>
      </c>
      <c r="E47" s="19">
        <v>3.5</v>
      </c>
    </row>
    <row r="48" spans="1:5" ht="16.5" customHeight="1">
      <c r="A48" s="17">
        <v>4</v>
      </c>
      <c r="B48" s="18">
        <v>78288868</v>
      </c>
      <c r="C48" s="18">
        <v>2613.8000000000002</v>
      </c>
      <c r="D48" s="19">
        <v>0.8</v>
      </c>
      <c r="E48" s="19">
        <v>3.5</v>
      </c>
    </row>
    <row r="49" spans="1:7" ht="16.5" customHeight="1">
      <c r="A49" s="17">
        <v>5</v>
      </c>
      <c r="B49" s="18">
        <v>78461640</v>
      </c>
      <c r="C49" s="18">
        <v>2630.2</v>
      </c>
      <c r="D49" s="19">
        <v>0.8</v>
      </c>
      <c r="E49" s="19">
        <v>3.5</v>
      </c>
    </row>
    <row r="50" spans="1:7" ht="16.5" customHeight="1">
      <c r="A50" s="17">
        <v>6</v>
      </c>
      <c r="B50" s="21">
        <v>79056622</v>
      </c>
      <c r="C50" s="21">
        <v>2585.6</v>
      </c>
      <c r="D50" s="22">
        <v>0.8</v>
      </c>
      <c r="E50" s="22">
        <v>3.5</v>
      </c>
    </row>
    <row r="51" spans="1:7" ht="16.5" customHeight="1">
      <c r="A51" s="23" t="s">
        <v>18</v>
      </c>
      <c r="B51" s="24">
        <f>AVERAGE(B45:B50)</f>
        <v>78036319.833333328</v>
      </c>
      <c r="C51" s="25">
        <f>AVERAGE(C45:C50)</f>
        <v>2638.7500000000005</v>
      </c>
      <c r="D51" s="26">
        <f>AVERAGE(D45:D50)</f>
        <v>0.79999999999999993</v>
      </c>
      <c r="E51" s="26">
        <f>AVERAGE(E45:E50)</f>
        <v>3.5</v>
      </c>
    </row>
    <row r="52" spans="1:7" ht="16.5" customHeight="1">
      <c r="A52" s="27" t="s">
        <v>19</v>
      </c>
      <c r="B52" s="28">
        <f>(STDEV(B45:B50)/B51)</f>
        <v>1.4438931571097971E-2</v>
      </c>
      <c r="C52" s="29"/>
      <c r="D52" s="29"/>
      <c r="E52" s="30"/>
    </row>
    <row r="53" spans="1:7" s="227" customFormat="1" ht="16.5" customHeight="1">
      <c r="A53" s="31" t="s">
        <v>20</v>
      </c>
      <c r="B53" s="32">
        <f>COUNT(B45:B50)</f>
        <v>6</v>
      </c>
      <c r="C53" s="33"/>
      <c r="D53" s="73"/>
      <c r="E53" s="35"/>
    </row>
    <row r="54" spans="1:7" s="227" customFormat="1" ht="15.75" customHeight="1">
      <c r="A54" s="72"/>
      <c r="B54" s="72"/>
      <c r="C54" s="72"/>
      <c r="D54" s="72"/>
      <c r="E54" s="72"/>
    </row>
    <row r="55" spans="1:7" s="227" customFormat="1" ht="16.5" customHeight="1">
      <c r="A55" s="75" t="s">
        <v>21</v>
      </c>
      <c r="B55" s="40" t="s">
        <v>22</v>
      </c>
      <c r="C55" s="39"/>
      <c r="D55" s="39"/>
      <c r="E55" s="39"/>
    </row>
    <row r="56" spans="1:7" ht="16.5" customHeight="1">
      <c r="A56" s="75"/>
      <c r="B56" s="40" t="s">
        <v>23</v>
      </c>
      <c r="C56" s="39"/>
      <c r="D56" s="39"/>
      <c r="E56" s="39"/>
    </row>
    <row r="57" spans="1:7" ht="16.5" customHeight="1">
      <c r="A57" s="75"/>
      <c r="B57" s="40" t="s">
        <v>24</v>
      </c>
      <c r="C57" s="39"/>
      <c r="D57" s="39"/>
      <c r="E57" s="39"/>
    </row>
    <row r="58" spans="1:7" ht="14.25" customHeight="1" thickBot="1">
      <c r="A58" s="41"/>
      <c r="B58" s="150"/>
      <c r="D58" s="43"/>
      <c r="F58" s="44"/>
      <c r="G58" s="44"/>
    </row>
    <row r="59" spans="1:7" ht="15" customHeight="1">
      <c r="B59" s="297" t="s">
        <v>26</v>
      </c>
      <c r="C59" s="297"/>
      <c r="E59" s="45" t="s">
        <v>27</v>
      </c>
      <c r="F59" s="46"/>
      <c r="G59" s="45" t="s">
        <v>28</v>
      </c>
    </row>
    <row r="60" spans="1:7" ht="15" customHeight="1">
      <c r="A60" s="47" t="s">
        <v>29</v>
      </c>
      <c r="B60" s="49" t="s">
        <v>126</v>
      </c>
      <c r="C60" s="49"/>
      <c r="E60" s="289">
        <v>42303</v>
      </c>
      <c r="G60" s="49"/>
    </row>
    <row r="61" spans="1:7" ht="15" customHeight="1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4" zoomScale="50" zoomScaleNormal="40" zoomScalePageLayoutView="50" workbookViewId="0">
      <selection activeCell="D113" sqref="D113"/>
    </sheetView>
  </sheetViews>
  <sheetFormatPr defaultColWidth="9.140625" defaultRowHeight="13.5"/>
  <cols>
    <col min="1" max="1" width="55.42578125" style="227" customWidth="1"/>
    <col min="2" max="2" width="33.7109375" style="227" customWidth="1"/>
    <col min="3" max="3" width="42.28515625" style="227" customWidth="1"/>
    <col min="4" max="4" width="30.5703125" style="227" customWidth="1"/>
    <col min="5" max="5" width="39.85546875" style="227" customWidth="1"/>
    <col min="6" max="6" width="30.7109375" style="227" customWidth="1"/>
    <col min="7" max="7" width="39.85546875" style="227" customWidth="1"/>
    <col min="8" max="8" width="30" style="227" customWidth="1"/>
    <col min="9" max="9" width="30.28515625" style="227" hidden="1" customWidth="1"/>
    <col min="10" max="10" width="30.42578125" style="227" customWidth="1"/>
    <col min="11" max="11" width="21.28515625" style="227" customWidth="1"/>
    <col min="12" max="12" width="9.140625" style="227"/>
    <col min="13" max="16384" width="9.140625" style="44"/>
  </cols>
  <sheetData>
    <row r="1" spans="1:9" ht="18.75" customHeight="1">
      <c r="A1" s="334" t="s">
        <v>45</v>
      </c>
      <c r="B1" s="334"/>
      <c r="C1" s="334"/>
      <c r="D1" s="334"/>
      <c r="E1" s="334"/>
      <c r="F1" s="334"/>
      <c r="G1" s="334"/>
      <c r="H1" s="334"/>
      <c r="I1" s="334"/>
    </row>
    <row r="2" spans="1:9" ht="18.75" customHeight="1">
      <c r="A2" s="334"/>
      <c r="B2" s="334"/>
      <c r="C2" s="334"/>
      <c r="D2" s="334"/>
      <c r="E2" s="334"/>
      <c r="F2" s="334"/>
      <c r="G2" s="334"/>
      <c r="H2" s="334"/>
      <c r="I2" s="334"/>
    </row>
    <row r="3" spans="1:9" ht="18.75" customHeight="1">
      <c r="A3" s="334"/>
      <c r="B3" s="334"/>
      <c r="C3" s="334"/>
      <c r="D3" s="334"/>
      <c r="E3" s="334"/>
      <c r="F3" s="334"/>
      <c r="G3" s="334"/>
      <c r="H3" s="334"/>
      <c r="I3" s="334"/>
    </row>
    <row r="4" spans="1:9" ht="18.75" customHeight="1">
      <c r="A4" s="334"/>
      <c r="B4" s="334"/>
      <c r="C4" s="334"/>
      <c r="D4" s="334"/>
      <c r="E4" s="334"/>
      <c r="F4" s="334"/>
      <c r="G4" s="334"/>
      <c r="H4" s="334"/>
      <c r="I4" s="334"/>
    </row>
    <row r="5" spans="1:9" ht="18.75" customHeight="1">
      <c r="A5" s="334"/>
      <c r="B5" s="334"/>
      <c r="C5" s="334"/>
      <c r="D5" s="334"/>
      <c r="E5" s="334"/>
      <c r="F5" s="334"/>
      <c r="G5" s="334"/>
      <c r="H5" s="334"/>
      <c r="I5" s="334"/>
    </row>
    <row r="6" spans="1:9" ht="18.75" customHeight="1">
      <c r="A6" s="334"/>
      <c r="B6" s="334"/>
      <c r="C6" s="334"/>
      <c r="D6" s="334"/>
      <c r="E6" s="334"/>
      <c r="F6" s="334"/>
      <c r="G6" s="334"/>
      <c r="H6" s="334"/>
      <c r="I6" s="334"/>
    </row>
    <row r="7" spans="1:9" ht="18.75" customHeight="1">
      <c r="A7" s="334"/>
      <c r="B7" s="334"/>
      <c r="C7" s="334"/>
      <c r="D7" s="334"/>
      <c r="E7" s="334"/>
      <c r="F7" s="334"/>
      <c r="G7" s="334"/>
      <c r="H7" s="334"/>
      <c r="I7" s="334"/>
    </row>
    <row r="8" spans="1:9">
      <c r="A8" s="335" t="s">
        <v>46</v>
      </c>
      <c r="B8" s="335"/>
      <c r="C8" s="335"/>
      <c r="D8" s="335"/>
      <c r="E8" s="335"/>
      <c r="F8" s="335"/>
      <c r="G8" s="335"/>
      <c r="H8" s="335"/>
      <c r="I8" s="335"/>
    </row>
    <row r="9" spans="1:9">
      <c r="A9" s="335"/>
      <c r="B9" s="335"/>
      <c r="C9" s="335"/>
      <c r="D9" s="335"/>
      <c r="E9" s="335"/>
      <c r="F9" s="335"/>
      <c r="G9" s="335"/>
      <c r="H9" s="335"/>
      <c r="I9" s="335"/>
    </row>
    <row r="10" spans="1:9">
      <c r="A10" s="335"/>
      <c r="B10" s="335"/>
      <c r="C10" s="335"/>
      <c r="D10" s="335"/>
      <c r="E10" s="335"/>
      <c r="F10" s="335"/>
      <c r="G10" s="335"/>
      <c r="H10" s="335"/>
      <c r="I10" s="335"/>
    </row>
    <row r="11" spans="1:9">
      <c r="A11" s="335"/>
      <c r="B11" s="335"/>
      <c r="C11" s="335"/>
      <c r="D11" s="335"/>
      <c r="E11" s="335"/>
      <c r="F11" s="335"/>
      <c r="G11" s="335"/>
      <c r="H11" s="335"/>
      <c r="I11" s="335"/>
    </row>
    <row r="12" spans="1:9">
      <c r="A12" s="335"/>
      <c r="B12" s="335"/>
      <c r="C12" s="335"/>
      <c r="D12" s="335"/>
      <c r="E12" s="335"/>
      <c r="F12" s="335"/>
      <c r="G12" s="335"/>
      <c r="H12" s="335"/>
      <c r="I12" s="335"/>
    </row>
    <row r="13" spans="1:9">
      <c r="A13" s="335"/>
      <c r="B13" s="335"/>
      <c r="C13" s="335"/>
      <c r="D13" s="335"/>
      <c r="E13" s="335"/>
      <c r="F13" s="335"/>
      <c r="G13" s="335"/>
      <c r="H13" s="335"/>
      <c r="I13" s="335"/>
    </row>
    <row r="14" spans="1:9">
      <c r="A14" s="335"/>
      <c r="B14" s="335"/>
      <c r="C14" s="335"/>
      <c r="D14" s="335"/>
      <c r="E14" s="335"/>
      <c r="F14" s="335"/>
      <c r="G14" s="335"/>
      <c r="H14" s="335"/>
      <c r="I14" s="335"/>
    </row>
    <row r="15" spans="1:9" ht="19.5" customHeight="1" thickBot="1">
      <c r="A15" s="205"/>
    </row>
    <row r="16" spans="1:9" ht="19.5" customHeight="1" thickBot="1">
      <c r="A16" s="307" t="s">
        <v>31</v>
      </c>
      <c r="B16" s="308"/>
      <c r="C16" s="308"/>
      <c r="D16" s="308"/>
      <c r="E16" s="308"/>
      <c r="F16" s="308"/>
      <c r="G16" s="308"/>
      <c r="H16" s="309"/>
    </row>
    <row r="17" spans="1:14" ht="20.25" customHeight="1">
      <c r="A17" s="310" t="s">
        <v>47</v>
      </c>
      <c r="B17" s="310"/>
      <c r="C17" s="310"/>
      <c r="D17" s="310"/>
      <c r="E17" s="310"/>
      <c r="F17" s="310"/>
      <c r="G17" s="310"/>
      <c r="H17" s="310"/>
    </row>
    <row r="18" spans="1:14" ht="26.25" customHeight="1">
      <c r="A18" s="100" t="s">
        <v>33</v>
      </c>
      <c r="B18" s="306" t="s">
        <v>5</v>
      </c>
      <c r="C18" s="306"/>
      <c r="D18" s="270"/>
      <c r="E18" s="101"/>
      <c r="F18" s="102"/>
      <c r="G18" s="102"/>
      <c r="H18" s="102"/>
    </row>
    <row r="19" spans="1:14" ht="26.25" customHeight="1">
      <c r="A19" s="100" t="s">
        <v>34</v>
      </c>
      <c r="B19" s="286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>
      <c r="A20" s="100" t="s">
        <v>35</v>
      </c>
      <c r="B20" s="311" t="s">
        <v>127</v>
      </c>
      <c r="C20" s="311"/>
      <c r="D20" s="102"/>
      <c r="E20" s="102"/>
      <c r="F20" s="102"/>
      <c r="G20" s="102"/>
      <c r="H20" s="102"/>
    </row>
    <row r="21" spans="1:14" ht="26.25" customHeight="1">
      <c r="A21" s="100" t="s">
        <v>36</v>
      </c>
      <c r="B21" s="311" t="s">
        <v>11</v>
      </c>
      <c r="C21" s="311"/>
      <c r="D21" s="311"/>
      <c r="E21" s="311"/>
      <c r="F21" s="311"/>
      <c r="G21" s="311"/>
      <c r="H21" s="311"/>
      <c r="I21" s="104"/>
    </row>
    <row r="22" spans="1:14" ht="26.25" customHeight="1">
      <c r="A22" s="100" t="s">
        <v>37</v>
      </c>
      <c r="B22" s="105">
        <v>42258</v>
      </c>
      <c r="C22" s="102"/>
      <c r="D22" s="102"/>
      <c r="E22" s="102"/>
      <c r="F22" s="102"/>
      <c r="G22" s="102"/>
      <c r="H22" s="102"/>
    </row>
    <row r="23" spans="1:14" ht="26.25" customHeight="1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>
      <c r="A24" s="100"/>
      <c r="B24" s="106"/>
    </row>
    <row r="25" spans="1:14" ht="18.75">
      <c r="A25" s="107" t="s">
        <v>1</v>
      </c>
      <c r="B25" s="106"/>
    </row>
    <row r="26" spans="1:14" ht="26.25" customHeight="1">
      <c r="A26" s="264" t="s">
        <v>4</v>
      </c>
      <c r="B26" s="306" t="s">
        <v>127</v>
      </c>
      <c r="C26" s="306"/>
    </row>
    <row r="27" spans="1:14" ht="26.25" customHeight="1">
      <c r="A27" s="216" t="s">
        <v>48</v>
      </c>
      <c r="B27" s="312" t="s">
        <v>128</v>
      </c>
      <c r="C27" s="312"/>
    </row>
    <row r="28" spans="1:14" ht="27" customHeight="1" thickBot="1">
      <c r="A28" s="216" t="s">
        <v>6</v>
      </c>
      <c r="B28" s="208">
        <v>101.74</v>
      </c>
    </row>
    <row r="29" spans="1:14" s="16" customFormat="1" ht="27" customHeight="1" thickBot="1">
      <c r="A29" s="216" t="s">
        <v>49</v>
      </c>
      <c r="B29" s="111">
        <v>0</v>
      </c>
      <c r="C29" s="313" t="s">
        <v>50</v>
      </c>
      <c r="D29" s="314"/>
      <c r="E29" s="314"/>
      <c r="F29" s="314"/>
      <c r="G29" s="315"/>
      <c r="I29" s="112"/>
      <c r="J29" s="112"/>
      <c r="K29" s="112"/>
      <c r="L29" s="112"/>
    </row>
    <row r="30" spans="1:14" s="16" customFormat="1" ht="19.5" customHeight="1" thickBot="1">
      <c r="A30" s="216" t="s">
        <v>51</v>
      </c>
      <c r="B30" s="282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6" customFormat="1" ht="27" customHeight="1" thickBot="1">
      <c r="A31" s="216" t="s">
        <v>52</v>
      </c>
      <c r="B31" s="116">
        <v>1</v>
      </c>
      <c r="C31" s="316" t="s">
        <v>53</v>
      </c>
      <c r="D31" s="317"/>
      <c r="E31" s="317"/>
      <c r="F31" s="317"/>
      <c r="G31" s="317"/>
      <c r="H31" s="318"/>
      <c r="I31" s="112"/>
      <c r="J31" s="112"/>
      <c r="K31" s="112"/>
      <c r="L31" s="112"/>
    </row>
    <row r="32" spans="1:14" s="16" customFormat="1" ht="27" customHeight="1" thickBot="1">
      <c r="A32" s="216" t="s">
        <v>54</v>
      </c>
      <c r="B32" s="116">
        <v>1</v>
      </c>
      <c r="C32" s="316" t="s">
        <v>55</v>
      </c>
      <c r="D32" s="317"/>
      <c r="E32" s="317"/>
      <c r="F32" s="317"/>
      <c r="G32" s="317"/>
      <c r="H32" s="318"/>
      <c r="I32" s="112"/>
      <c r="J32" s="112"/>
      <c r="K32" s="112"/>
      <c r="L32" s="117"/>
      <c r="M32" s="117"/>
      <c r="N32" s="118"/>
    </row>
    <row r="33" spans="1:14" s="16" customFormat="1" ht="17.25" customHeight="1">
      <c r="A33" s="216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6" customFormat="1" ht="18.75">
      <c r="A34" s="216" t="s">
        <v>56</v>
      </c>
      <c r="B34" s="121">
        <f>B31/B32</f>
        <v>1</v>
      </c>
      <c r="C34" s="205" t="s">
        <v>57</v>
      </c>
      <c r="D34" s="205"/>
      <c r="E34" s="205"/>
      <c r="F34" s="205"/>
      <c r="G34" s="205"/>
      <c r="I34" s="112"/>
      <c r="J34" s="112"/>
      <c r="K34" s="112"/>
      <c r="L34" s="117"/>
      <c r="M34" s="117"/>
      <c r="N34" s="118"/>
    </row>
    <row r="35" spans="1:14" s="16" customFormat="1" ht="19.5" customHeight="1" thickBot="1">
      <c r="A35" s="216"/>
      <c r="B35" s="282"/>
      <c r="G35" s="205"/>
      <c r="I35" s="112"/>
      <c r="J35" s="112"/>
      <c r="K35" s="112"/>
      <c r="L35" s="117"/>
      <c r="M35" s="117"/>
      <c r="N35" s="118"/>
    </row>
    <row r="36" spans="1:14" s="16" customFormat="1" ht="27" customHeight="1" thickBot="1">
      <c r="A36" s="122" t="s">
        <v>58</v>
      </c>
      <c r="B36" s="123">
        <v>10</v>
      </c>
      <c r="C36" s="205"/>
      <c r="D36" s="319" t="s">
        <v>59</v>
      </c>
      <c r="E36" s="320"/>
      <c r="F36" s="319" t="s">
        <v>60</v>
      </c>
      <c r="G36" s="321"/>
      <c r="J36" s="112"/>
      <c r="K36" s="112"/>
      <c r="L36" s="117"/>
      <c r="M36" s="117"/>
      <c r="N36" s="118"/>
    </row>
    <row r="37" spans="1:14" s="16" customFormat="1" ht="27" customHeight="1" thickBot="1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6" customFormat="1" ht="26.25" customHeight="1">
      <c r="A38" s="124" t="s">
        <v>66</v>
      </c>
      <c r="B38" s="125">
        <v>25</v>
      </c>
      <c r="C38" s="131">
        <v>1</v>
      </c>
      <c r="D38" s="132">
        <v>65229936</v>
      </c>
      <c r="E38" s="133">
        <f>IF(ISBLANK(D38),"-",$D$48/$D$45*D38)</f>
        <v>54395655.859537274</v>
      </c>
      <c r="F38" s="132">
        <v>53316350</v>
      </c>
      <c r="G38" s="134">
        <f>IF(ISBLANK(F38),"-",$D$48/$F$45*F38)</f>
        <v>54174202.101897016</v>
      </c>
      <c r="I38" s="135"/>
      <c r="J38" s="112"/>
      <c r="K38" s="112"/>
      <c r="L38" s="117"/>
      <c r="M38" s="117"/>
      <c r="N38" s="118"/>
    </row>
    <row r="39" spans="1:14" s="16" customFormat="1" ht="26.25" customHeight="1">
      <c r="A39" s="124" t="s">
        <v>67</v>
      </c>
      <c r="B39" s="125">
        <v>1</v>
      </c>
      <c r="C39" s="156">
        <v>2</v>
      </c>
      <c r="D39" s="137">
        <v>65969206</v>
      </c>
      <c r="E39" s="138">
        <f>IF(ISBLANK(D39),"-",$D$48/$D$45*D39)</f>
        <v>55012137.784451008</v>
      </c>
      <c r="F39" s="137">
        <v>54158136</v>
      </c>
      <c r="G39" s="139">
        <f>IF(ISBLANK(F39),"-",$D$48/$F$45*F39)</f>
        <v>55029532.312808819</v>
      </c>
      <c r="I39" s="323">
        <f>ABS((F43/D43*D42)-F42)/D42</f>
        <v>1.7762437854430665E-3</v>
      </c>
      <c r="J39" s="112"/>
      <c r="K39" s="112"/>
      <c r="L39" s="117"/>
      <c r="M39" s="117"/>
      <c r="N39" s="118"/>
    </row>
    <row r="40" spans="1:14" ht="26.25" customHeight="1">
      <c r="A40" s="124" t="s">
        <v>68</v>
      </c>
      <c r="B40" s="125">
        <v>1</v>
      </c>
      <c r="C40" s="156">
        <v>3</v>
      </c>
      <c r="D40" s="137">
        <v>66124069</v>
      </c>
      <c r="E40" s="138">
        <f>IF(ISBLANK(D40),"-",$D$48/$D$45*D40)</f>
        <v>55141279.018828057</v>
      </c>
      <c r="F40" s="137">
        <v>54118447</v>
      </c>
      <c r="G40" s="139">
        <f>IF(ISBLANK(F40),"-",$D$48/$F$45*F40)</f>
        <v>54989204.722731441</v>
      </c>
      <c r="I40" s="323"/>
      <c r="L40" s="117"/>
      <c r="M40" s="117"/>
      <c r="N40" s="205"/>
    </row>
    <row r="41" spans="1:14" ht="27" customHeight="1" thickBot="1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205"/>
    </row>
    <row r="42" spans="1:14" ht="27" customHeight="1" thickBot="1">
      <c r="A42" s="124" t="s">
        <v>70</v>
      </c>
      <c r="B42" s="125">
        <v>1</v>
      </c>
      <c r="C42" s="146" t="s">
        <v>71</v>
      </c>
      <c r="D42" s="147">
        <f>AVERAGE(D38:D41)</f>
        <v>65774403.666666664</v>
      </c>
      <c r="E42" s="148">
        <f>AVERAGE(E38:E41)</f>
        <v>54849690.887605451</v>
      </c>
      <c r="F42" s="147">
        <f>AVERAGE(F38:F41)</f>
        <v>53864311</v>
      </c>
      <c r="G42" s="149">
        <f>AVERAGE(G38:G41)</f>
        <v>54730979.712479092</v>
      </c>
      <c r="H42" s="150"/>
    </row>
    <row r="43" spans="1:14" ht="26.25" customHeight="1">
      <c r="A43" s="124" t="s">
        <v>72</v>
      </c>
      <c r="B43" s="125">
        <v>1</v>
      </c>
      <c r="C43" s="151" t="s">
        <v>73</v>
      </c>
      <c r="D43" s="152">
        <v>17.68</v>
      </c>
      <c r="E43" s="205"/>
      <c r="F43" s="152">
        <v>14.51</v>
      </c>
      <c r="H43" s="150"/>
    </row>
    <row r="44" spans="1:14" ht="26.25" customHeight="1">
      <c r="A44" s="124" t="s">
        <v>74</v>
      </c>
      <c r="B44" s="125">
        <v>1</v>
      </c>
      <c r="C44" s="153" t="s">
        <v>75</v>
      </c>
      <c r="D44" s="154">
        <f>D43*$B$34</f>
        <v>17.68</v>
      </c>
      <c r="E44" s="224"/>
      <c r="F44" s="154">
        <f>F43*$B$34</f>
        <v>14.51</v>
      </c>
      <c r="H44" s="150"/>
    </row>
    <row r="45" spans="1:14" ht="19.5" customHeight="1" thickBot="1">
      <c r="A45" s="124" t="s">
        <v>76</v>
      </c>
      <c r="B45" s="156">
        <f>(B44/B43)*(B42/B41)*(B40/B39)*(B38/B37)*B36</f>
        <v>250</v>
      </c>
      <c r="C45" s="153" t="s">
        <v>77</v>
      </c>
      <c r="D45" s="157">
        <f>D44*$B$30/100</f>
        <v>17.987631999999998</v>
      </c>
      <c r="E45" s="201"/>
      <c r="F45" s="157">
        <f>F44*$B$30/100</f>
        <v>14.762473999999999</v>
      </c>
      <c r="H45" s="150"/>
    </row>
    <row r="46" spans="1:14" ht="19.5" customHeight="1" thickBot="1">
      <c r="A46" s="324" t="s">
        <v>78</v>
      </c>
      <c r="B46" s="325"/>
      <c r="C46" s="153" t="s">
        <v>79</v>
      </c>
      <c r="D46" s="159">
        <f>D45/$B$45</f>
        <v>7.1950527999999986E-2</v>
      </c>
      <c r="E46" s="160"/>
      <c r="F46" s="161">
        <f>F45/$B$45</f>
        <v>5.9049895999999998E-2</v>
      </c>
      <c r="H46" s="150"/>
    </row>
    <row r="47" spans="1:14" ht="27" customHeight="1" thickBot="1">
      <c r="A47" s="326"/>
      <c r="B47" s="327"/>
      <c r="C47" s="162" t="s">
        <v>80</v>
      </c>
      <c r="D47" s="163">
        <v>0.06</v>
      </c>
      <c r="E47" s="164"/>
      <c r="F47" s="160"/>
      <c r="H47" s="150"/>
    </row>
    <row r="48" spans="1:14" ht="18.75">
      <c r="C48" s="165" t="s">
        <v>81</v>
      </c>
      <c r="D48" s="157">
        <f>D47*$B$45</f>
        <v>15</v>
      </c>
      <c r="F48" s="166"/>
      <c r="H48" s="150"/>
    </row>
    <row r="49" spans="1:12" ht="19.5" customHeight="1" thickBot="1">
      <c r="C49" s="167" t="s">
        <v>82</v>
      </c>
      <c r="D49" s="168">
        <f>D48/B34</f>
        <v>15</v>
      </c>
      <c r="F49" s="166"/>
      <c r="H49" s="150"/>
    </row>
    <row r="50" spans="1:12" ht="18.75">
      <c r="C50" s="122" t="s">
        <v>83</v>
      </c>
      <c r="D50" s="169">
        <f>AVERAGE(E38:E41,G38:G41)</f>
        <v>54790335.300042272</v>
      </c>
      <c r="F50" s="170"/>
      <c r="H50" s="150"/>
    </row>
    <row r="51" spans="1:12" ht="18.75">
      <c r="C51" s="124" t="s">
        <v>84</v>
      </c>
      <c r="D51" s="171">
        <f>STDEV(E38:E41,G38:G41)/D50</f>
        <v>7.3211256784873934E-3</v>
      </c>
      <c r="F51" s="170"/>
      <c r="H51" s="150"/>
    </row>
    <row r="52" spans="1:12" ht="19.5" customHeight="1" thickBot="1">
      <c r="C52" s="172" t="s">
        <v>20</v>
      </c>
      <c r="D52" s="173">
        <f>COUNT(E38:E41,G38:G41)</f>
        <v>6</v>
      </c>
      <c r="F52" s="170"/>
    </row>
    <row r="54" spans="1:12" ht="18.75">
      <c r="A54" s="174" t="s">
        <v>1</v>
      </c>
      <c r="B54" s="175" t="s">
        <v>85</v>
      </c>
    </row>
    <row r="55" spans="1:12" ht="18.75">
      <c r="A55" s="205" t="s">
        <v>86</v>
      </c>
      <c r="B55" s="177" t="str">
        <f>B21</f>
        <v>Each film coated  tablet contains Lamivudine USP 300mg and Tenofovir Disoproxil Fumarate 300mg equivalent to Tenofovir Disproxil 245 mg</v>
      </c>
    </row>
    <row r="56" spans="1:12" ht="26.25" customHeight="1">
      <c r="A56" s="177" t="s">
        <v>87</v>
      </c>
      <c r="B56" s="178">
        <v>300</v>
      </c>
      <c r="C56" s="205" t="str">
        <f>B20</f>
        <v>Lamivudine</v>
      </c>
      <c r="H56" s="224"/>
    </row>
    <row r="57" spans="1:12" ht="18.75">
      <c r="A57" s="177" t="s">
        <v>88</v>
      </c>
      <c r="B57" s="271">
        <f>Uniformity!C46</f>
        <v>1056.2139999999999</v>
      </c>
      <c r="H57" s="224"/>
    </row>
    <row r="58" spans="1:12" ht="19.5" customHeight="1" thickBot="1">
      <c r="H58" s="224"/>
    </row>
    <row r="59" spans="1:12" s="16" customFormat="1" ht="27" customHeight="1" thickBot="1">
      <c r="A59" s="122" t="s">
        <v>89</v>
      </c>
      <c r="B59" s="123">
        <v>100</v>
      </c>
      <c r="C59" s="205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6" customFormat="1" ht="26.25" customHeight="1">
      <c r="A60" s="124" t="s">
        <v>93</v>
      </c>
      <c r="B60" s="125">
        <v>5</v>
      </c>
      <c r="C60" s="328" t="s">
        <v>94</v>
      </c>
      <c r="D60" s="331">
        <f>'Tenofovir Disoproxil Fumarate'!D60:D63</f>
        <v>1056.76</v>
      </c>
      <c r="E60" s="182">
        <v>1</v>
      </c>
      <c r="F60" s="183">
        <v>57435778</v>
      </c>
      <c r="G60" s="273">
        <f>IF(ISBLANK(F60),"-",(F60/$D$50*$D$47*$B$68)*($B$57/$D$60))</f>
        <v>314.32241910052517</v>
      </c>
      <c r="H60" s="184">
        <f>IF(ISBLANK(F60),"-",(G60/$B$56))</f>
        <v>1.0477413970017506</v>
      </c>
      <c r="L60" s="112"/>
    </row>
    <row r="61" spans="1:12" s="16" customFormat="1" ht="26.25" customHeight="1">
      <c r="A61" s="124" t="s">
        <v>95</v>
      </c>
      <c r="B61" s="125">
        <v>250</v>
      </c>
      <c r="C61" s="329"/>
      <c r="D61" s="332"/>
      <c r="E61" s="185">
        <v>2</v>
      </c>
      <c r="F61" s="137">
        <v>57343752</v>
      </c>
      <c r="G61" s="274">
        <f>IF(ISBLANK(F61),"-",(F61/$D$50*$D$47*$B$68)*($B$57/$D$60))</f>
        <v>313.81879860564572</v>
      </c>
      <c r="H61" s="186">
        <f>IF(ISBLANK(F61),"-",G61/$B$56)</f>
        <v>1.0460626620188191</v>
      </c>
      <c r="L61" s="112"/>
    </row>
    <row r="62" spans="1:12" s="16" customFormat="1" ht="26.25" customHeight="1">
      <c r="A62" s="124" t="s">
        <v>96</v>
      </c>
      <c r="B62" s="125">
        <v>1</v>
      </c>
      <c r="C62" s="329"/>
      <c r="D62" s="332"/>
      <c r="E62" s="185">
        <v>3</v>
      </c>
      <c r="F62" s="187">
        <v>57815569</v>
      </c>
      <c r="G62" s="274">
        <f>IF(ISBLANK(F62),"-",(F62/$D$50*$D$47*$B$68)*($B$57/$D$60))</f>
        <v>316.40085923017062</v>
      </c>
      <c r="H62" s="186">
        <f t="shared" ref="H62:H71" si="0">IF(ISBLANK(F62),"-",G62/$B$56)</f>
        <v>1.0546695307672354</v>
      </c>
      <c r="L62" s="112"/>
    </row>
    <row r="63" spans="1:12" ht="27" customHeight="1" thickBot="1">
      <c r="A63" s="124" t="s">
        <v>97</v>
      </c>
      <c r="B63" s="125">
        <v>1</v>
      </c>
      <c r="C63" s="330"/>
      <c r="D63" s="333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>
      <c r="A64" s="124" t="s">
        <v>98</v>
      </c>
      <c r="B64" s="125">
        <v>1</v>
      </c>
      <c r="C64" s="328" t="s">
        <v>99</v>
      </c>
      <c r="D64" s="331">
        <f>'Tenofovir Disoproxil Fumarate'!D64:D67</f>
        <v>1046.96</v>
      </c>
      <c r="E64" s="182">
        <v>1</v>
      </c>
      <c r="F64" s="183">
        <v>55923843</v>
      </c>
      <c r="G64" s="275">
        <f>IF(ISBLANK(F64),"-",(F64/$D$50*$D$47*$B$68)*($B$57/$D$64))</f>
        <v>308.9129640984869</v>
      </c>
      <c r="H64" s="190">
        <f>IF(ISBLANK(F64),"-",G64/$B$56)</f>
        <v>1.0297098803282896</v>
      </c>
    </row>
    <row r="65" spans="1:8" ht="26.25" customHeight="1">
      <c r="A65" s="124" t="s">
        <v>100</v>
      </c>
      <c r="B65" s="125">
        <v>1</v>
      </c>
      <c r="C65" s="329"/>
      <c r="D65" s="332"/>
      <c r="E65" s="185">
        <v>2</v>
      </c>
      <c r="F65" s="137">
        <v>56910842</v>
      </c>
      <c r="G65" s="276">
        <f>IF(ISBLANK(F65),"-",(F65/$D$50*$D$47*$B$68)*($B$57/$D$64))</f>
        <v>314.36496400221739</v>
      </c>
      <c r="H65" s="191">
        <f>IF(ISBLANK(F65),"-",G65/$B$56)</f>
        <v>1.0478832133407245</v>
      </c>
    </row>
    <row r="66" spans="1:8" ht="26.25" customHeight="1">
      <c r="A66" s="124" t="s">
        <v>101</v>
      </c>
      <c r="B66" s="125">
        <v>1</v>
      </c>
      <c r="C66" s="329"/>
      <c r="D66" s="332"/>
      <c r="E66" s="185">
        <v>3</v>
      </c>
      <c r="F66" s="137">
        <v>55248820</v>
      </c>
      <c r="G66" s="276">
        <f>IF(ISBLANK(F66),"-",(F66/$D$50*$D$47*$B$68)*($B$57/$D$64))</f>
        <v>305.18426191032268</v>
      </c>
      <c r="H66" s="191">
        <f>IF(ISBLANK(F66),"-",G66/$B$56)</f>
        <v>1.017280873034409</v>
      </c>
    </row>
    <row r="67" spans="1:8" ht="27" customHeight="1" thickBot="1">
      <c r="A67" s="124" t="s">
        <v>102</v>
      </c>
      <c r="B67" s="125">
        <v>1</v>
      </c>
      <c r="C67" s="330"/>
      <c r="D67" s="333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>
      <c r="A68" s="124" t="s">
        <v>103</v>
      </c>
      <c r="B68" s="193">
        <f>(B67/B66)*(B65/B64)*(B63/B62)*(B61/B60)*B59</f>
        <v>5000</v>
      </c>
      <c r="C68" s="328" t="s">
        <v>104</v>
      </c>
      <c r="D68" s="331">
        <f>'Tenofovir Disoproxil Fumarate'!D68:D71</f>
        <v>1056.58</v>
      </c>
      <c r="E68" s="182">
        <v>1</v>
      </c>
      <c r="F68" s="183">
        <v>55904789</v>
      </c>
      <c r="G68" s="275">
        <f>IF(ISBLANK(F68),"-",(F68/$D$50*$D$47*$B$68)*($B$57/$D$68))</f>
        <v>305.99606612360589</v>
      </c>
      <c r="H68" s="186">
        <f>IF(ISBLANK(F68),"-",G68/$B$56)</f>
        <v>1.0199868870786863</v>
      </c>
    </row>
    <row r="69" spans="1:8" ht="27" customHeight="1" thickBot="1">
      <c r="A69" s="172" t="s">
        <v>105</v>
      </c>
      <c r="B69" s="194">
        <f>(D47*B68)/B56*B57</f>
        <v>1056.2139999999999</v>
      </c>
      <c r="C69" s="329"/>
      <c r="D69" s="332"/>
      <c r="E69" s="185">
        <v>2</v>
      </c>
      <c r="F69" s="137">
        <v>57239604</v>
      </c>
      <c r="G69" s="276">
        <f>IF(ISBLANK(F69),"-",(F69/$D$50*$D$47*$B$68)*($B$57/$D$68))</f>
        <v>313.30220476233285</v>
      </c>
      <c r="H69" s="186">
        <f t="shared" si="0"/>
        <v>1.0443406825411095</v>
      </c>
    </row>
    <row r="70" spans="1:8" ht="26.25" customHeight="1">
      <c r="A70" s="341" t="s">
        <v>78</v>
      </c>
      <c r="B70" s="342"/>
      <c r="C70" s="329"/>
      <c r="D70" s="332"/>
      <c r="E70" s="185">
        <v>3</v>
      </c>
      <c r="F70" s="137">
        <v>54977118</v>
      </c>
      <c r="G70" s="276">
        <f>IF(ISBLANK(F70),"-",(F70/$D$50*$D$47*$B$68)*($B$57/$D$68))</f>
        <v>300.91843893397544</v>
      </c>
      <c r="H70" s="186">
        <f>IF(ISBLANK(F70),"-",G70/$B$56)</f>
        <v>1.0030614631132515</v>
      </c>
    </row>
    <row r="71" spans="1:8" ht="27" customHeight="1" thickBot="1">
      <c r="A71" s="343"/>
      <c r="B71" s="344"/>
      <c r="C71" s="340"/>
      <c r="D71" s="333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>
      <c r="A72" s="224"/>
      <c r="B72" s="224"/>
      <c r="C72" s="224"/>
      <c r="D72" s="224"/>
      <c r="E72" s="224"/>
      <c r="F72" s="224"/>
      <c r="G72" s="198" t="s">
        <v>71</v>
      </c>
      <c r="H72" s="199">
        <f>AVERAGE(H60:H71)</f>
        <v>1.0345262876915862</v>
      </c>
    </row>
    <row r="73" spans="1:8" ht="26.25" customHeight="1">
      <c r="C73" s="224"/>
      <c r="D73" s="224"/>
      <c r="E73" s="224"/>
      <c r="F73" s="224"/>
      <c r="G73" s="200" t="s">
        <v>84</v>
      </c>
      <c r="H73" s="278">
        <f>STDEV(H60:H71)/H72</f>
        <v>1.7122649786064304E-2</v>
      </c>
    </row>
    <row r="74" spans="1:8" ht="27" customHeight="1" thickBot="1">
      <c r="A74" s="224"/>
      <c r="B74" s="224"/>
      <c r="C74" s="224"/>
      <c r="D74" s="224"/>
      <c r="E74" s="201"/>
      <c r="F74" s="224"/>
      <c r="G74" s="202" t="s">
        <v>20</v>
      </c>
      <c r="H74" s="203">
        <f>COUNT(H60:H71)</f>
        <v>9</v>
      </c>
    </row>
    <row r="76" spans="1:8" ht="26.25" customHeight="1">
      <c r="A76" s="264" t="s">
        <v>106</v>
      </c>
      <c r="B76" s="216" t="s">
        <v>107</v>
      </c>
      <c r="C76" s="336" t="str">
        <f>B20</f>
        <v>Lamivudine</v>
      </c>
      <c r="D76" s="336"/>
      <c r="E76" s="205" t="s">
        <v>108</v>
      </c>
      <c r="F76" s="205"/>
      <c r="G76" s="206">
        <f>H72</f>
        <v>1.0345262876915862</v>
      </c>
      <c r="H76" s="282"/>
    </row>
    <row r="77" spans="1:8" ht="18.75">
      <c r="A77" s="107" t="s">
        <v>109</v>
      </c>
      <c r="B77" s="107" t="s">
        <v>110</v>
      </c>
    </row>
    <row r="78" spans="1:8" ht="18.75">
      <c r="A78" s="107"/>
      <c r="B78" s="107"/>
    </row>
    <row r="79" spans="1:8" ht="26.25" customHeight="1">
      <c r="A79" s="264" t="s">
        <v>4</v>
      </c>
      <c r="B79" s="322" t="str">
        <f>B26</f>
        <v>Lamivudine</v>
      </c>
      <c r="C79" s="322"/>
    </row>
    <row r="80" spans="1:8" ht="26.25" customHeight="1">
      <c r="A80" s="216" t="s">
        <v>48</v>
      </c>
      <c r="B80" s="322" t="str">
        <f>B27</f>
        <v>T11 5</v>
      </c>
      <c r="C80" s="322"/>
    </row>
    <row r="81" spans="1:12" ht="27" customHeight="1" thickBot="1">
      <c r="A81" s="216" t="s">
        <v>6</v>
      </c>
      <c r="B81" s="208">
        <f>B28</f>
        <v>101.74</v>
      </c>
    </row>
    <row r="82" spans="1:12" s="16" customFormat="1" ht="27" customHeight="1" thickBot="1">
      <c r="A82" s="216" t="s">
        <v>49</v>
      </c>
      <c r="B82" s="111">
        <v>0</v>
      </c>
      <c r="C82" s="313" t="s">
        <v>50</v>
      </c>
      <c r="D82" s="314"/>
      <c r="E82" s="314"/>
      <c r="F82" s="314"/>
      <c r="G82" s="315"/>
      <c r="I82" s="112"/>
      <c r="J82" s="112"/>
      <c r="K82" s="112"/>
      <c r="L82" s="112"/>
    </row>
    <row r="83" spans="1:12" s="16" customFormat="1" ht="19.5" customHeight="1" thickBot="1">
      <c r="A83" s="216" t="s">
        <v>51</v>
      </c>
      <c r="B83" s="282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6" customFormat="1" ht="27" customHeight="1" thickBot="1">
      <c r="A84" s="216" t="s">
        <v>52</v>
      </c>
      <c r="B84" s="116">
        <v>1</v>
      </c>
      <c r="C84" s="316" t="s">
        <v>111</v>
      </c>
      <c r="D84" s="317"/>
      <c r="E84" s="317"/>
      <c r="F84" s="317"/>
      <c r="G84" s="317"/>
      <c r="H84" s="318"/>
      <c r="I84" s="112"/>
      <c r="J84" s="112"/>
      <c r="K84" s="112"/>
      <c r="L84" s="112"/>
    </row>
    <row r="85" spans="1:12" s="16" customFormat="1" ht="27" customHeight="1" thickBot="1">
      <c r="A85" s="216" t="s">
        <v>54</v>
      </c>
      <c r="B85" s="116">
        <v>1</v>
      </c>
      <c r="C85" s="316" t="s">
        <v>112</v>
      </c>
      <c r="D85" s="317"/>
      <c r="E85" s="317"/>
      <c r="F85" s="317"/>
      <c r="G85" s="317"/>
      <c r="H85" s="318"/>
      <c r="I85" s="112"/>
      <c r="J85" s="112"/>
      <c r="K85" s="112"/>
      <c r="L85" s="112"/>
    </row>
    <row r="86" spans="1:12" s="16" customFormat="1" ht="18.75">
      <c r="A86" s="216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6" customFormat="1" ht="18.75">
      <c r="A87" s="216" t="s">
        <v>56</v>
      </c>
      <c r="B87" s="121">
        <f>B84/B85</f>
        <v>1</v>
      </c>
      <c r="C87" s="205" t="s">
        <v>57</v>
      </c>
      <c r="D87" s="205"/>
      <c r="E87" s="205"/>
      <c r="F87" s="205"/>
      <c r="G87" s="205"/>
      <c r="I87" s="112"/>
      <c r="J87" s="112"/>
      <c r="K87" s="112"/>
      <c r="L87" s="112"/>
    </row>
    <row r="88" spans="1:12" ht="19.5" customHeight="1" thickBot="1">
      <c r="A88" s="107"/>
      <c r="B88" s="107"/>
    </row>
    <row r="89" spans="1:12" ht="27" customHeight="1" thickBot="1">
      <c r="A89" s="122" t="s">
        <v>58</v>
      </c>
      <c r="B89" s="123">
        <v>10</v>
      </c>
      <c r="D89" s="284" t="s">
        <v>59</v>
      </c>
      <c r="E89" s="287"/>
      <c r="F89" s="319" t="s">
        <v>60</v>
      </c>
      <c r="G89" s="321"/>
    </row>
    <row r="90" spans="1:12" ht="27" customHeight="1" thickBot="1">
      <c r="A90" s="124" t="s">
        <v>61</v>
      </c>
      <c r="B90" s="125">
        <v>3</v>
      </c>
      <c r="C90" s="283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>
      <c r="A91" s="124" t="s">
        <v>66</v>
      </c>
      <c r="B91" s="125">
        <v>25</v>
      </c>
      <c r="C91" s="213">
        <v>1</v>
      </c>
      <c r="D91" s="132">
        <v>78077279</v>
      </c>
      <c r="E91" s="133">
        <f>IF(ISBLANK(D91),"-",$D$101/$D$98*D91)</f>
        <v>144686969.728237</v>
      </c>
      <c r="F91" s="132">
        <v>94094817</v>
      </c>
      <c r="G91" s="134">
        <f>IF(ISBLANK(F91),"-",$D$101/$F$98*F91)</f>
        <v>144328289.81710747</v>
      </c>
      <c r="I91" s="135"/>
    </row>
    <row r="92" spans="1:12" ht="26.25" customHeight="1">
      <c r="A92" s="124" t="s">
        <v>67</v>
      </c>
      <c r="B92" s="125">
        <v>1</v>
      </c>
      <c r="C92" s="224">
        <v>2</v>
      </c>
      <c r="D92" s="137">
        <v>78332264</v>
      </c>
      <c r="E92" s="138">
        <f>IF(ISBLANK(D92),"-",$D$101/$D$98*D92)</f>
        <v>145159488.84581733</v>
      </c>
      <c r="F92" s="137">
        <v>92147596</v>
      </c>
      <c r="G92" s="139">
        <f>IF(ISBLANK(F92),"-",$D$101/$F$98*F92)</f>
        <v>141341525.12818781</v>
      </c>
      <c r="I92" s="323">
        <f>ABS((F96/D96*D95)-F95)/D95</f>
        <v>2.2129680052106551E-2</v>
      </c>
    </row>
    <row r="93" spans="1:12" ht="26.25" customHeight="1">
      <c r="A93" s="124" t="s">
        <v>68</v>
      </c>
      <c r="B93" s="125">
        <v>1</v>
      </c>
      <c r="C93" s="224">
        <v>3</v>
      </c>
      <c r="D93" s="137">
        <v>78648601</v>
      </c>
      <c r="E93" s="138">
        <f>IF(ISBLANK(D93),"-",$D$101/$D$98*D93)</f>
        <v>145745700.89789104</v>
      </c>
      <c r="F93" s="137">
        <v>92540099</v>
      </c>
      <c r="G93" s="139">
        <f>IF(ISBLANK(F93),"-",$D$101/$F$98*F93)</f>
        <v>141943569.83738875</v>
      </c>
      <c r="I93" s="323"/>
    </row>
    <row r="94" spans="1:12" ht="27" customHeight="1" thickBot="1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thickBot="1">
      <c r="A95" s="124" t="s">
        <v>70</v>
      </c>
      <c r="B95" s="125">
        <v>1</v>
      </c>
      <c r="C95" s="216" t="s">
        <v>71</v>
      </c>
      <c r="D95" s="217">
        <f>AVERAGE(D91:D94)</f>
        <v>78352714.666666672</v>
      </c>
      <c r="E95" s="148">
        <f>AVERAGE(E91:E94)</f>
        <v>145197386.49064848</v>
      </c>
      <c r="F95" s="218">
        <f>AVERAGE(F91:F94)</f>
        <v>92927504</v>
      </c>
      <c r="G95" s="219">
        <f>AVERAGE(G91:G94)</f>
        <v>142537794.92756134</v>
      </c>
    </row>
    <row r="96" spans="1:12" ht="26.25" customHeight="1">
      <c r="A96" s="124" t="s">
        <v>72</v>
      </c>
      <c r="B96" s="208">
        <v>1</v>
      </c>
      <c r="C96" s="220" t="s">
        <v>113</v>
      </c>
      <c r="D96" s="221">
        <v>13.26</v>
      </c>
      <c r="E96" s="205"/>
      <c r="F96" s="152">
        <v>16.02</v>
      </c>
    </row>
    <row r="97" spans="1:10" ht="26.25" customHeight="1">
      <c r="A97" s="124" t="s">
        <v>74</v>
      </c>
      <c r="B97" s="208">
        <v>1</v>
      </c>
      <c r="C97" s="222" t="s">
        <v>114</v>
      </c>
      <c r="D97" s="223">
        <f>D96*$B$87</f>
        <v>13.26</v>
      </c>
      <c r="E97" s="224"/>
      <c r="F97" s="154">
        <f>F96*$B$87</f>
        <v>16.02</v>
      </c>
    </row>
    <row r="98" spans="1:10" ht="19.5" customHeight="1" thickBot="1">
      <c r="A98" s="124" t="s">
        <v>76</v>
      </c>
      <c r="B98" s="224">
        <f>(B97/B96)*(B95/B94)*(B93/B92)*(B91/B90)*B89</f>
        <v>83.333333333333343</v>
      </c>
      <c r="C98" s="222" t="s">
        <v>115</v>
      </c>
      <c r="D98" s="225">
        <f>D97*$B$83/100</f>
        <v>13.490724</v>
      </c>
      <c r="E98" s="201"/>
      <c r="F98" s="157">
        <f>F97*$B$83/100</f>
        <v>16.298748</v>
      </c>
    </row>
    <row r="99" spans="1:10" ht="19.5" customHeight="1" thickBot="1">
      <c r="A99" s="324" t="s">
        <v>78</v>
      </c>
      <c r="B99" s="338"/>
      <c r="C99" s="222" t="s">
        <v>116</v>
      </c>
      <c r="D99" s="226">
        <f>D98/$B$98</f>
        <v>0.16188868799999998</v>
      </c>
      <c r="E99" s="201"/>
      <c r="F99" s="161">
        <f>F98/$B$98</f>
        <v>0.19558497599999997</v>
      </c>
      <c r="H99" s="150"/>
    </row>
    <row r="100" spans="1:10" ht="19.5" customHeight="1" thickBot="1">
      <c r="A100" s="326"/>
      <c r="B100" s="339"/>
      <c r="C100" s="222" t="s">
        <v>80</v>
      </c>
      <c r="D100" s="228">
        <f>$B$56/$B$116</f>
        <v>0.3</v>
      </c>
      <c r="F100" s="166"/>
      <c r="G100" s="235"/>
      <c r="H100" s="150"/>
    </row>
    <row r="101" spans="1:10" ht="18.75">
      <c r="C101" s="222" t="s">
        <v>81</v>
      </c>
      <c r="D101" s="223">
        <f>D100*$B$98</f>
        <v>25.000000000000004</v>
      </c>
      <c r="F101" s="166"/>
      <c r="H101" s="150"/>
    </row>
    <row r="102" spans="1:10" ht="19.5" customHeight="1" thickBot="1">
      <c r="C102" s="230" t="s">
        <v>82</v>
      </c>
      <c r="D102" s="231">
        <f>D101/B34</f>
        <v>25.000000000000004</v>
      </c>
      <c r="F102" s="170"/>
      <c r="H102" s="150"/>
      <c r="J102" s="232"/>
    </row>
    <row r="103" spans="1:10" ht="18.75">
      <c r="C103" s="233" t="s">
        <v>117</v>
      </c>
      <c r="D103" s="234">
        <f>AVERAGE(E91:E94,G91:G94)</f>
        <v>143867590.7091049</v>
      </c>
      <c r="F103" s="170"/>
      <c r="G103" s="235"/>
      <c r="H103" s="150"/>
      <c r="J103" s="236"/>
    </row>
    <row r="104" spans="1:10" ht="18.75">
      <c r="C104" s="200" t="s">
        <v>84</v>
      </c>
      <c r="D104" s="237">
        <f>STDEV(E91:E94,G91:G94)/D103</f>
        <v>1.249712646746466E-2</v>
      </c>
      <c r="F104" s="170"/>
      <c r="H104" s="150"/>
      <c r="J104" s="236"/>
    </row>
    <row r="105" spans="1:10" ht="19.5" customHeight="1" thickBot="1">
      <c r="C105" s="202" t="s">
        <v>20</v>
      </c>
      <c r="D105" s="238">
        <f>COUNT(E91:E94,G91:G94)</f>
        <v>6</v>
      </c>
      <c r="F105" s="170"/>
      <c r="H105" s="150"/>
      <c r="J105" s="236"/>
    </row>
    <row r="106" spans="1:10" ht="19.5" customHeight="1" thickBot="1">
      <c r="A106" s="174"/>
      <c r="B106" s="174"/>
      <c r="C106" s="174"/>
      <c r="D106" s="174"/>
      <c r="E106" s="174"/>
    </row>
    <row r="107" spans="1:10" ht="26.25" customHeight="1">
      <c r="A107" s="122" t="s">
        <v>118</v>
      </c>
      <c r="B107" s="123">
        <v>1000</v>
      </c>
      <c r="C107" s="284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>
      <c r="A108" s="124" t="s">
        <v>122</v>
      </c>
      <c r="B108" s="125">
        <v>1</v>
      </c>
      <c r="C108" s="243">
        <v>1</v>
      </c>
      <c r="D108" s="244">
        <v>128385240</v>
      </c>
      <c r="E108" s="279">
        <f t="shared" ref="E108:E113" si="1">IF(ISBLANK(D108),"-",D108/$D$103*$D$100*$B$116)</f>
        <v>267.71541672562728</v>
      </c>
      <c r="F108" s="245">
        <f>IF(ISBLANK(D108), "-", E108/$B$56)</f>
        <v>0.89238472241875755</v>
      </c>
    </row>
    <row r="109" spans="1:10" ht="26.25" customHeight="1">
      <c r="A109" s="124" t="s">
        <v>95</v>
      </c>
      <c r="B109" s="125">
        <v>1</v>
      </c>
      <c r="C109" s="243">
        <v>2</v>
      </c>
      <c r="D109" s="244">
        <v>128489795</v>
      </c>
      <c r="E109" s="280">
        <f t="shared" si="1"/>
        <v>267.93344011675657</v>
      </c>
      <c r="F109" s="246">
        <f t="shared" ref="F109:F113" si="2">IF(ISBLANK(D109), "-", E109/$B$56)</f>
        <v>0.8931114670558552</v>
      </c>
    </row>
    <row r="110" spans="1:10" ht="26.25" customHeight="1">
      <c r="A110" s="124" t="s">
        <v>96</v>
      </c>
      <c r="B110" s="125">
        <v>1</v>
      </c>
      <c r="C110" s="243">
        <v>3</v>
      </c>
      <c r="D110" s="244">
        <v>126809387</v>
      </c>
      <c r="E110" s="280">
        <f t="shared" si="1"/>
        <v>264.42936809111654</v>
      </c>
      <c r="F110" s="246">
        <f>IF(ISBLANK(D110), "-", E110/$B$56)</f>
        <v>0.88143122697038845</v>
      </c>
    </row>
    <row r="111" spans="1:10" ht="26.25" customHeight="1">
      <c r="A111" s="124" t="s">
        <v>97</v>
      </c>
      <c r="B111" s="125">
        <v>1</v>
      </c>
      <c r="C111" s="243">
        <v>4</v>
      </c>
      <c r="D111" s="244">
        <v>127192859</v>
      </c>
      <c r="E111" s="280">
        <f t="shared" si="1"/>
        <v>265.22900336291735</v>
      </c>
      <c r="F111" s="246">
        <f t="shared" si="2"/>
        <v>0.88409667787639112</v>
      </c>
    </row>
    <row r="112" spans="1:10" ht="26.25" customHeight="1">
      <c r="A112" s="124" t="s">
        <v>98</v>
      </c>
      <c r="B112" s="125">
        <v>1</v>
      </c>
      <c r="C112" s="243">
        <v>5</v>
      </c>
      <c r="D112" s="244">
        <v>127911645</v>
      </c>
      <c r="E112" s="280">
        <f t="shared" si="1"/>
        <v>266.72785240137802</v>
      </c>
      <c r="F112" s="246">
        <f>IF(ISBLANK(D112), "-", E112/$B$56)</f>
        <v>0.88909284133792676</v>
      </c>
    </row>
    <row r="113" spans="1:10" ht="26.25" customHeight="1">
      <c r="A113" s="124" t="s">
        <v>100</v>
      </c>
      <c r="B113" s="125">
        <v>1</v>
      </c>
      <c r="C113" s="247">
        <v>6</v>
      </c>
      <c r="D113" s="248">
        <v>127416241</v>
      </c>
      <c r="E113" s="281">
        <f t="shared" si="1"/>
        <v>265.69481084373837</v>
      </c>
      <c r="F113" s="249">
        <f t="shared" si="2"/>
        <v>0.88564936947912787</v>
      </c>
    </row>
    <row r="114" spans="1:10" ht="26.25" customHeight="1">
      <c r="A114" s="124" t="s">
        <v>101</v>
      </c>
      <c r="B114" s="125">
        <v>1</v>
      </c>
      <c r="C114" s="243"/>
      <c r="D114" s="224"/>
      <c r="E114" s="205"/>
      <c r="F114" s="250"/>
    </row>
    <row r="115" spans="1:10" ht="26.25" customHeight="1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0.88762771752307446</v>
      </c>
    </row>
    <row r="116" spans="1:10" ht="27" customHeight="1" thickBot="1">
      <c r="A116" s="124" t="s">
        <v>103</v>
      </c>
      <c r="B116" s="156">
        <f>(B115/B114)*(B113/B112)*(B111/B110)*(B109/B108)*B107</f>
        <v>1000</v>
      </c>
      <c r="C116" s="254"/>
      <c r="D116" s="255"/>
      <c r="E116" s="216" t="s">
        <v>84</v>
      </c>
      <c r="F116" s="256">
        <f>STDEV(F108:F113)/F115</f>
        <v>5.2752191879004333E-3</v>
      </c>
      <c r="I116" s="205"/>
    </row>
    <row r="117" spans="1:10" ht="27" customHeight="1" thickBot="1">
      <c r="A117" s="324" t="s">
        <v>78</v>
      </c>
      <c r="B117" s="325"/>
      <c r="C117" s="257"/>
      <c r="D117" s="258"/>
      <c r="E117" s="259" t="s">
        <v>20</v>
      </c>
      <c r="F117" s="260">
        <f>COUNT(F108:F113)</f>
        <v>6</v>
      </c>
      <c r="I117" s="205"/>
      <c r="J117" s="236"/>
    </row>
    <row r="118" spans="1:10" ht="19.5" customHeight="1" thickBot="1">
      <c r="A118" s="326"/>
      <c r="B118" s="327"/>
      <c r="C118" s="205"/>
      <c r="D118" s="205"/>
      <c r="E118" s="205"/>
      <c r="F118" s="224"/>
      <c r="G118" s="205"/>
      <c r="H118" s="205"/>
      <c r="I118" s="205"/>
    </row>
    <row r="119" spans="1:10" ht="18.75">
      <c r="A119" s="269"/>
      <c r="B119" s="120"/>
      <c r="C119" s="205"/>
      <c r="D119" s="205"/>
      <c r="E119" s="205"/>
      <c r="F119" s="224"/>
      <c r="G119" s="205"/>
      <c r="H119" s="205"/>
      <c r="I119" s="205"/>
    </row>
    <row r="120" spans="1:10" ht="26.25" customHeight="1">
      <c r="A120" s="264" t="s">
        <v>106</v>
      </c>
      <c r="B120" s="216" t="s">
        <v>123</v>
      </c>
      <c r="C120" s="336" t="str">
        <f>B20</f>
        <v>Lamivudine</v>
      </c>
      <c r="D120" s="336"/>
      <c r="E120" s="205" t="s">
        <v>124</v>
      </c>
      <c r="F120" s="205"/>
      <c r="G120" s="206">
        <f>F115</f>
        <v>0.88762771752307446</v>
      </c>
      <c r="H120" s="205"/>
      <c r="I120" s="205"/>
    </row>
    <row r="121" spans="1:10" ht="19.5" customHeight="1" thickBot="1">
      <c r="A121" s="285"/>
      <c r="B121" s="285"/>
      <c r="C121" s="262"/>
      <c r="D121" s="262"/>
      <c r="E121" s="262"/>
      <c r="F121" s="262"/>
      <c r="G121" s="262"/>
      <c r="H121" s="262"/>
    </row>
    <row r="122" spans="1:10" ht="18.75">
      <c r="B122" s="337" t="s">
        <v>26</v>
      </c>
      <c r="C122" s="337"/>
      <c r="E122" s="283" t="s">
        <v>27</v>
      </c>
      <c r="F122" s="263"/>
      <c r="G122" s="337" t="s">
        <v>28</v>
      </c>
      <c r="H122" s="337"/>
    </row>
    <row r="123" spans="1:10" ht="69.95" customHeight="1">
      <c r="A123" s="264" t="s">
        <v>29</v>
      </c>
      <c r="B123" s="266" t="s">
        <v>126</v>
      </c>
      <c r="C123" s="266"/>
      <c r="E123" s="291">
        <v>42303</v>
      </c>
      <c r="F123" s="205"/>
      <c r="G123" s="266"/>
      <c r="H123" s="266"/>
    </row>
    <row r="124" spans="1:10" ht="69.95" customHeight="1">
      <c r="A124" s="264" t="s">
        <v>30</v>
      </c>
      <c r="B124" s="267"/>
      <c r="C124" s="267"/>
      <c r="E124" s="267"/>
      <c r="F124" s="205"/>
      <c r="G124" s="268"/>
      <c r="H124" s="268"/>
    </row>
    <row r="125" spans="1:10" ht="18.75">
      <c r="A125" s="224"/>
      <c r="B125" s="224"/>
      <c r="C125" s="224"/>
      <c r="D125" s="224"/>
      <c r="E125" s="224"/>
      <c r="F125" s="201"/>
      <c r="G125" s="224"/>
      <c r="H125" s="224"/>
      <c r="I125" s="205"/>
    </row>
    <row r="126" spans="1:10" ht="18.75">
      <c r="A126" s="224"/>
      <c r="B126" s="224"/>
      <c r="C126" s="224"/>
      <c r="D126" s="224"/>
      <c r="E126" s="224"/>
      <c r="F126" s="201"/>
      <c r="G126" s="224"/>
      <c r="H126" s="224"/>
      <c r="I126" s="205"/>
    </row>
    <row r="127" spans="1:10" ht="18.75">
      <c r="A127" s="224"/>
      <c r="B127" s="224"/>
      <c r="C127" s="224"/>
      <c r="D127" s="224"/>
      <c r="E127" s="224"/>
      <c r="F127" s="201"/>
      <c r="G127" s="224"/>
      <c r="H127" s="224"/>
      <c r="I127" s="205"/>
    </row>
    <row r="128" spans="1:10" ht="18.75">
      <c r="A128" s="224"/>
      <c r="B128" s="224"/>
      <c r="C128" s="224"/>
      <c r="D128" s="224"/>
      <c r="E128" s="224"/>
      <c r="F128" s="201"/>
      <c r="G128" s="224"/>
      <c r="H128" s="224"/>
      <c r="I128" s="205"/>
    </row>
    <row r="129" spans="1:9" ht="18.75">
      <c r="A129" s="224"/>
      <c r="B129" s="224"/>
      <c r="C129" s="224"/>
      <c r="D129" s="224"/>
      <c r="E129" s="224"/>
      <c r="F129" s="201"/>
      <c r="G129" s="224"/>
      <c r="H129" s="224"/>
      <c r="I129" s="205"/>
    </row>
    <row r="130" spans="1:9" ht="18.75">
      <c r="A130" s="224"/>
      <c r="B130" s="224"/>
      <c r="C130" s="224"/>
      <c r="D130" s="224"/>
      <c r="E130" s="224"/>
      <c r="F130" s="201"/>
      <c r="G130" s="224"/>
      <c r="H130" s="224"/>
      <c r="I130" s="205"/>
    </row>
    <row r="131" spans="1:9" ht="18.75">
      <c r="A131" s="224"/>
      <c r="B131" s="224"/>
      <c r="C131" s="224"/>
      <c r="D131" s="224"/>
      <c r="E131" s="224"/>
      <c r="F131" s="201"/>
      <c r="G131" s="224"/>
      <c r="H131" s="224"/>
      <c r="I131" s="205"/>
    </row>
    <row r="132" spans="1:9" ht="18.75">
      <c r="A132" s="224"/>
      <c r="B132" s="224"/>
      <c r="C132" s="224"/>
      <c r="D132" s="224"/>
      <c r="E132" s="224"/>
      <c r="F132" s="201"/>
      <c r="G132" s="224"/>
      <c r="H132" s="224"/>
      <c r="I132" s="205"/>
    </row>
    <row r="133" spans="1:9" ht="18.75">
      <c r="A133" s="224"/>
      <c r="B133" s="224"/>
      <c r="C133" s="224"/>
      <c r="D133" s="224"/>
      <c r="E133" s="224"/>
      <c r="F133" s="201"/>
      <c r="G133" s="224"/>
      <c r="H133" s="224"/>
      <c r="I133" s="205"/>
    </row>
    <row r="250" spans="1:1">
      <c r="A250" s="22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Tenofovir Disoproxil Fumarate</vt:lpstr>
      <vt:lpstr>SST (2)</vt:lpstr>
      <vt:lpstr>Lamivudine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2015-11-17T15:37:26Z</cp:lastPrinted>
  <dcterms:created xsi:type="dcterms:W3CDTF">2005-07-05T10:19:27Z</dcterms:created>
  <dcterms:modified xsi:type="dcterms:W3CDTF">2015-11-17T15:38:32Z</dcterms:modified>
</cp:coreProperties>
</file>