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3"/>
  </bookViews>
  <sheets>
    <sheet name="SST Ritonavir" sheetId="6" r:id="rId1"/>
    <sheet name="SST Lopinavir" sheetId="5" r:id="rId2"/>
    <sheet name="Uniformity" sheetId="2" r:id="rId3"/>
    <sheet name="Lopinavir" sheetId="3" r:id="rId4"/>
    <sheet name="Rito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G38" i="4" l="1"/>
  <c r="E38" i="4"/>
  <c r="F45" i="4"/>
  <c r="D45" i="4"/>
  <c r="G38" i="3"/>
  <c r="G60" i="3"/>
  <c r="F45" i="3"/>
  <c r="D46" i="3"/>
  <c r="D45" i="3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69" i="4" l="1"/>
  <c r="B45" i="4" l="1"/>
  <c r="C120" i="4"/>
  <c r="B116" i="4"/>
  <c r="D100" i="4" s="1"/>
  <c r="D101" i="4" s="1"/>
  <c r="B98" i="4"/>
  <c r="D97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9" i="4"/>
  <c r="D46" i="4"/>
  <c r="F44" i="4"/>
  <c r="D44" i="4"/>
  <c r="F42" i="4"/>
  <c r="D42" i="4"/>
  <c r="G41" i="4"/>
  <c r="E41" i="4"/>
  <c r="B68" i="3"/>
  <c r="E38" i="3"/>
  <c r="B45" i="3"/>
  <c r="C120" i="3"/>
  <c r="B116" i="3"/>
  <c r="D100" i="3"/>
  <c r="D101" i="3" s="1"/>
  <c r="B98" i="3"/>
  <c r="F97" i="3"/>
  <c r="F95" i="3"/>
  <c r="D95" i="3"/>
  <c r="I92" i="3"/>
  <c r="B87" i="3"/>
  <c r="D97" i="3" s="1"/>
  <c r="B81" i="3"/>
  <c r="B83" i="3" s="1"/>
  <c r="B80" i="3"/>
  <c r="B79" i="3"/>
  <c r="C76" i="3"/>
  <c r="C56" i="3"/>
  <c r="B55" i="3"/>
  <c r="D48" i="3"/>
  <c r="F42" i="3"/>
  <c r="D42" i="3"/>
  <c r="F44" i="3"/>
  <c r="C46" i="2"/>
  <c r="C50" i="2" s="1"/>
  <c r="C45" i="2"/>
  <c r="C19" i="2"/>
  <c r="F98" i="4" l="1"/>
  <c r="F99" i="4" s="1"/>
  <c r="D33" i="2"/>
  <c r="D30" i="2"/>
  <c r="D38" i="2"/>
  <c r="D42" i="2"/>
  <c r="B49" i="2"/>
  <c r="D24" i="2"/>
  <c r="D28" i="2"/>
  <c r="D32" i="2"/>
  <c r="D40" i="2"/>
  <c r="D25" i="2"/>
  <c r="D29" i="2"/>
  <c r="D37" i="2"/>
  <c r="D41" i="2"/>
  <c r="D50" i="2"/>
  <c r="D26" i="2"/>
  <c r="D34" i="2"/>
  <c r="D27" i="2"/>
  <c r="D31" i="2"/>
  <c r="D35" i="2"/>
  <c r="D39" i="2"/>
  <c r="D43" i="2"/>
  <c r="C49" i="2"/>
  <c r="D36" i="2"/>
  <c r="D49" i="2"/>
  <c r="B57" i="3"/>
  <c r="B69" i="3" s="1"/>
  <c r="I39" i="4"/>
  <c r="E39" i="4"/>
  <c r="E40" i="4"/>
  <c r="G40" i="4"/>
  <c r="F46" i="4"/>
  <c r="G92" i="4"/>
  <c r="D102" i="4"/>
  <c r="G93" i="4"/>
  <c r="G91" i="4"/>
  <c r="G94" i="4"/>
  <c r="D98" i="4"/>
  <c r="D99" i="4" s="1"/>
  <c r="G39" i="4"/>
  <c r="I39" i="3"/>
  <c r="F46" i="3"/>
  <c r="D98" i="3"/>
  <c r="D99" i="3" s="1"/>
  <c r="F98" i="3"/>
  <c r="F99" i="3" s="1"/>
  <c r="D49" i="3"/>
  <c r="D102" i="3"/>
  <c r="E93" i="3"/>
  <c r="G91" i="3"/>
  <c r="D44" i="3"/>
  <c r="G42" i="4" l="1"/>
  <c r="D52" i="4"/>
  <c r="E42" i="4"/>
  <c r="D50" i="4"/>
  <c r="E94" i="4"/>
  <c r="E91" i="4"/>
  <c r="E92" i="4"/>
  <c r="G95" i="4"/>
  <c r="E93" i="4"/>
  <c r="G40" i="3"/>
  <c r="G92" i="3"/>
  <c r="E91" i="3"/>
  <c r="E92" i="3"/>
  <c r="E94" i="3"/>
  <c r="E95" i="3" s="1"/>
  <c r="G94" i="3"/>
  <c r="D105" i="3" s="1"/>
  <c r="G93" i="3"/>
  <c r="G41" i="3"/>
  <c r="G39" i="3"/>
  <c r="E40" i="3"/>
  <c r="E41" i="3"/>
  <c r="E39" i="3"/>
  <c r="G69" i="4" l="1"/>
  <c r="H69" i="4" s="1"/>
  <c r="G65" i="4"/>
  <c r="H65" i="4" s="1"/>
  <c r="G62" i="4"/>
  <c r="G60" i="4"/>
  <c r="D51" i="4"/>
  <c r="G70" i="4"/>
  <c r="H70" i="4" s="1"/>
  <c r="G66" i="4"/>
  <c r="H66" i="4" s="1"/>
  <c r="G64" i="4"/>
  <c r="H64" i="4" s="1"/>
  <c r="G61" i="4"/>
  <c r="G68" i="4"/>
  <c r="H68" i="4" s="1"/>
  <c r="D103" i="4"/>
  <c r="E95" i="4"/>
  <c r="D105" i="4"/>
  <c r="D103" i="3"/>
  <c r="E110" i="3" s="1"/>
  <c r="F110" i="3" s="1"/>
  <c r="G95" i="3"/>
  <c r="G42" i="3"/>
  <c r="D50" i="3"/>
  <c r="D51" i="3" s="1"/>
  <c r="E42" i="3"/>
  <c r="D52" i="3"/>
  <c r="E112" i="3"/>
  <c r="F112" i="3" s="1"/>
  <c r="E108" i="3"/>
  <c r="F108" i="3" s="1"/>
  <c r="E113" i="3"/>
  <c r="F113" i="3" s="1"/>
  <c r="E111" i="3"/>
  <c r="F111" i="3" s="1"/>
  <c r="D104" i="3"/>
  <c r="E112" i="4" l="1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/>
  <c r="G76" i="4" s="1"/>
  <c r="H74" i="4"/>
  <c r="E109" i="3"/>
  <c r="F109" i="3" s="1"/>
  <c r="F115" i="3"/>
  <c r="F117" i="3"/>
  <c r="G70" i="3"/>
  <c r="H70" i="3" s="1"/>
  <c r="G65" i="3"/>
  <c r="H65" i="3" s="1"/>
  <c r="G61" i="3"/>
  <c r="G68" i="3"/>
  <c r="H68" i="3" s="1"/>
  <c r="G69" i="3"/>
  <c r="H69" i="3" s="1"/>
  <c r="G66" i="3"/>
  <c r="H66" i="3" s="1"/>
  <c r="G64" i="3"/>
  <c r="H64" i="3" s="1"/>
  <c r="G62" i="3"/>
  <c r="F115" i="4" l="1"/>
  <c r="F117" i="4"/>
  <c r="H73" i="4"/>
  <c r="G120" i="3"/>
  <c r="F116" i="3"/>
  <c r="H72" i="3"/>
  <c r="G76" i="3" s="1"/>
  <c r="H74" i="3"/>
  <c r="G120" i="4" l="1"/>
  <c r="F116" i="4"/>
  <c r="H73" i="3"/>
</calcChain>
</file>

<file path=xl/sharedStrings.xml><?xml version="1.0" encoding="utf-8"?>
<sst xmlns="http://schemas.openxmlformats.org/spreadsheetml/2006/main" count="440" uniqueCount="130">
  <si>
    <t>HPLC System Suitability Report</t>
  </si>
  <si>
    <t>Analysis Data</t>
  </si>
  <si>
    <t>Assay</t>
  </si>
  <si>
    <t>Sample(s)</t>
  </si>
  <si>
    <t>Reference Substance:</t>
  </si>
  <si>
    <t>Lopinavir/ Ritonavir Tablets</t>
  </si>
  <si>
    <t>% age Purity:</t>
  </si>
  <si>
    <t>Weight (mg):</t>
  </si>
  <si>
    <t xml:space="preserve">Lopinavir/ Ritonavir </t>
  </si>
  <si>
    <t>Standard Conc (mg/mL):</t>
  </si>
  <si>
    <t>Each film-coated tablet contains Lopinavir 200 mg, Ritonavir 50 mg</t>
  </si>
  <si>
    <t>2015-08-11 14:35:24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</si>
  <si>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</si>
  <si>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</si>
  <si>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</si>
  <si>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</si>
  <si>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</si>
  <si>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</si>
  <si>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</si>
  <si>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</si>
  <si>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</si>
  <si>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</si>
  <si>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</si>
  <si>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</si>
  <si>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</si>
  <si>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</si>
  <si>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</si>
  <si>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</si>
  <si>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</si>
  <si>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</si>
  <si>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</si>
  <si>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</si>
  <si>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</si>
  <si>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</si>
  <si>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</si>
  <si>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</si>
  <si>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</si>
  <si>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</si>
  <si>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</si>
  <si>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</si>
  <si>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</si>
  <si>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</si>
  <si>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</si>
  <si>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</si>
  <si>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</si>
  <si>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</si>
  <si>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</si>
  <si>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</si>
  <si>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</si>
  <si>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</si>
  <si>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</si>
  <si>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</si>
  <si>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</si>
  <si>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</si>
  <si>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</si>
  <si>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</si>
  <si>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</si>
  <si>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</si>
  <si>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</si>
  <si>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</si>
  <si>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</si>
  <si>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</si>
  <si>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</si>
  <si>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</si>
  <si>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</si>
  <si>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</si>
  <si>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</si>
  <si>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</si>
  <si>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</si>
  <si>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</si>
  <si>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</si>
  <si>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</si>
  <si>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</si>
  <si>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</si>
  <si>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</si>
  <si>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</si>
  <si>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</si>
  <si>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</si>
  <si>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</si>
  <si>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</si>
  <si>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</si>
  <si>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</si>
  <si>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</si>
  <si>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</si>
  <si>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</si>
  <si>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</si>
  <si>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</si>
  <si>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</si>
  <si>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</si>
  <si>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</si>
  <si>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</si>
  <si>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</si>
  <si>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</si>
  <si>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</si>
  <si>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</si>
  <si>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</si>
  <si>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</si>
  <si>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</si>
  <si>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</si>
  <si>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</si>
  <si>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</si>
  <si>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</si>
  <si>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</si>
  <si>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</si>
  <si>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</si>
  <si>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</si>
  <si>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</si>
  <si>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</si>
  <si>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</si>
  <si>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</si>
  <si>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</si>
  <si>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</si>
  <si>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</si>
  <si>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</si>
  <si>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</si>
  <si>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</si>
  <si>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</si>
  <si>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</si>
  <si>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</si>
  <si>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</si>
  <si>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</si>
  <si>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</si>
  <si>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</si>
  <si>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</si>
  <si>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Lopinavir</t>
  </si>
  <si>
    <t>L21-1</t>
  </si>
  <si>
    <t>Ritonavir</t>
  </si>
  <si>
    <t>NDQD201508109</t>
  </si>
  <si>
    <t>R9-1</t>
  </si>
  <si>
    <t>Aluvia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</si>
</sst>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70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6" fontId="5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8" sqref="B18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5</v>
      </c>
      <c r="D17" s="296"/>
      <c r="E17" s="297"/>
    </row>
    <row r="18" spans="1:5" ht="16.5" customHeight="1" x14ac:dyDescent="0.3">
      <c r="A18" s="298" t="s">
        <v>4</v>
      </c>
      <c r="B18" s="299" t="s">
        <v>127</v>
      </c>
      <c r="C18" s="297"/>
      <c r="D18" s="297"/>
      <c r="E18" s="297"/>
    </row>
    <row r="19" spans="1:5" ht="16.5" customHeight="1" x14ac:dyDescent="0.3">
      <c r="A19" s="298" t="s">
        <v>6</v>
      </c>
      <c r="B19" s="299" t="s">
        <v>126</v>
      </c>
      <c r="C19" s="297"/>
      <c r="D19" s="297"/>
      <c r="E19" s="297"/>
    </row>
    <row r="20" spans="1:5" ht="16.5" customHeight="1" x14ac:dyDescent="0.3">
      <c r="A20" s="295" t="s">
        <v>7</v>
      </c>
      <c r="B20" s="300">
        <v>15.48</v>
      </c>
      <c r="C20" s="297"/>
      <c r="D20" s="297"/>
      <c r="E20" s="297"/>
    </row>
    <row r="21" spans="1:5" ht="16.5" customHeight="1" x14ac:dyDescent="0.3">
      <c r="A21" s="295" t="s">
        <v>9</v>
      </c>
      <c r="B21" s="337">
        <f>15.625/25*1/100</f>
        <v>6.2500000000000003E-3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12</v>
      </c>
      <c r="B23" s="303" t="s">
        <v>13</v>
      </c>
      <c r="C23" s="302" t="s">
        <v>14</v>
      </c>
      <c r="D23" s="302" t="s">
        <v>15</v>
      </c>
      <c r="E23" s="302" t="s">
        <v>16</v>
      </c>
    </row>
    <row r="24" spans="1:5" ht="16.5" customHeight="1" x14ac:dyDescent="0.3">
      <c r="A24" s="304">
        <v>1</v>
      </c>
      <c r="B24" s="305">
        <v>4231984</v>
      </c>
      <c r="C24" s="305">
        <v>3078</v>
      </c>
      <c r="D24" s="306">
        <v>1.01</v>
      </c>
      <c r="E24" s="307">
        <v>7.57</v>
      </c>
    </row>
    <row r="25" spans="1:5" ht="16.5" customHeight="1" x14ac:dyDescent="0.3">
      <c r="A25" s="304">
        <v>2</v>
      </c>
      <c r="B25" s="305">
        <v>4206804</v>
      </c>
      <c r="C25" s="305">
        <v>2795</v>
      </c>
      <c r="D25" s="306">
        <v>1.06</v>
      </c>
      <c r="E25" s="306">
        <v>7.55</v>
      </c>
    </row>
    <row r="26" spans="1:5" ht="16.5" customHeight="1" x14ac:dyDescent="0.3">
      <c r="A26" s="304">
        <v>3</v>
      </c>
      <c r="B26" s="305">
        <v>4205931</v>
      </c>
      <c r="C26" s="305">
        <v>2747</v>
      </c>
      <c r="D26" s="306">
        <v>1.08</v>
      </c>
      <c r="E26" s="306">
        <v>7.55</v>
      </c>
    </row>
    <row r="27" spans="1:5" ht="16.5" customHeight="1" x14ac:dyDescent="0.3">
      <c r="A27" s="304">
        <v>4</v>
      </c>
      <c r="B27" s="305">
        <v>4197009</v>
      </c>
      <c r="C27" s="305">
        <v>2832</v>
      </c>
      <c r="D27" s="306">
        <v>1.1100000000000001</v>
      </c>
      <c r="E27" s="306">
        <v>7.55</v>
      </c>
    </row>
    <row r="28" spans="1:5" ht="16.5" customHeight="1" x14ac:dyDescent="0.3">
      <c r="A28" s="304">
        <v>5</v>
      </c>
      <c r="B28" s="305">
        <v>4179247</v>
      </c>
      <c r="C28" s="305">
        <v>2961</v>
      </c>
      <c r="D28" s="306">
        <v>1.1100000000000001</v>
      </c>
      <c r="E28" s="306">
        <v>7.56</v>
      </c>
    </row>
    <row r="29" spans="1:5" ht="16.5" customHeight="1" x14ac:dyDescent="0.3">
      <c r="A29" s="304">
        <v>6</v>
      </c>
      <c r="B29" s="308">
        <v>4162349</v>
      </c>
      <c r="C29" s="308">
        <v>3055</v>
      </c>
      <c r="D29" s="309">
        <v>1.1100000000000001</v>
      </c>
      <c r="E29" s="309">
        <v>7.55</v>
      </c>
    </row>
    <row r="30" spans="1:5" ht="16.5" customHeight="1" x14ac:dyDescent="0.3">
      <c r="A30" s="310" t="s">
        <v>17</v>
      </c>
      <c r="B30" s="311">
        <f>AVERAGE(B24:B29)</f>
        <v>4197220.666666667</v>
      </c>
      <c r="C30" s="312">
        <f>AVERAGE(C24:C29)</f>
        <v>2911.3333333333335</v>
      </c>
      <c r="D30" s="313">
        <f>AVERAGE(D24:D29)</f>
        <v>1.0800000000000003</v>
      </c>
      <c r="E30" s="313">
        <f>AVERAGE(E24:E29)</f>
        <v>7.5549999999999997</v>
      </c>
    </row>
    <row r="31" spans="1:5" ht="16.5" customHeight="1" x14ac:dyDescent="0.3">
      <c r="A31" s="314" t="s">
        <v>18</v>
      </c>
      <c r="B31" s="315">
        <f>(STDEV(B24:B29)/B30)</f>
        <v>5.7530356878493305E-3</v>
      </c>
      <c r="C31" s="316"/>
      <c r="D31" s="316"/>
      <c r="E31" s="317"/>
    </row>
    <row r="32" spans="1:5" s="290" customFormat="1" ht="16.5" customHeight="1" x14ac:dyDescent="0.3">
      <c r="A32" s="318" t="s">
        <v>19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20</v>
      </c>
      <c r="B34" s="323" t="s">
        <v>21</v>
      </c>
      <c r="C34" s="324"/>
      <c r="D34" s="324"/>
      <c r="E34" s="324"/>
    </row>
    <row r="35" spans="1:5" ht="16.5" customHeight="1" x14ac:dyDescent="0.3">
      <c r="A35" s="298"/>
      <c r="B35" s="323" t="s">
        <v>22</v>
      </c>
      <c r="C35" s="324"/>
      <c r="D35" s="324"/>
      <c r="E35" s="324"/>
    </row>
    <row r="36" spans="1:5" ht="16.5" customHeight="1" x14ac:dyDescent="0.3">
      <c r="A36" s="298"/>
      <c r="B36" s="323" t="s">
        <v>23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24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6</v>
      </c>
      <c r="B40" s="299"/>
      <c r="C40" s="297"/>
      <c r="D40" s="297"/>
      <c r="E40" s="297"/>
    </row>
    <row r="41" spans="1:5" ht="16.5" customHeight="1" x14ac:dyDescent="0.3">
      <c r="A41" s="295" t="s">
        <v>7</v>
      </c>
      <c r="B41" s="299"/>
      <c r="C41" s="297"/>
      <c r="D41" s="297"/>
      <c r="E41" s="297"/>
    </row>
    <row r="42" spans="1:5" ht="16.5" customHeight="1" x14ac:dyDescent="0.3">
      <c r="A42" s="295" t="s">
        <v>9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12</v>
      </c>
      <c r="B44" s="303" t="s">
        <v>13</v>
      </c>
      <c r="C44" s="302" t="s">
        <v>14</v>
      </c>
      <c r="D44" s="302" t="s">
        <v>15</v>
      </c>
      <c r="E44" s="302" t="s">
        <v>16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17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18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19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20</v>
      </c>
      <c r="B55" s="323" t="s">
        <v>21</v>
      </c>
      <c r="C55" s="324"/>
      <c r="D55" s="324"/>
      <c r="E55" s="324"/>
    </row>
    <row r="56" spans="1:7" ht="16.5" customHeight="1" x14ac:dyDescent="0.3">
      <c r="A56" s="298"/>
      <c r="B56" s="323" t="s">
        <v>22</v>
      </c>
      <c r="C56" s="324"/>
      <c r="D56" s="324"/>
      <c r="E56" s="324"/>
    </row>
    <row r="57" spans="1:7" ht="16.5" customHeight="1" x14ac:dyDescent="0.3">
      <c r="A57" s="298"/>
      <c r="B57" s="323" t="s">
        <v>23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25</v>
      </c>
      <c r="C59" s="330"/>
      <c r="E59" s="331" t="s">
        <v>26</v>
      </c>
      <c r="F59" s="332"/>
      <c r="G59" s="331" t="s">
        <v>27</v>
      </c>
    </row>
    <row r="60" spans="1:7" ht="15" customHeight="1" x14ac:dyDescent="0.3">
      <c r="A60" s="333" t="s">
        <v>28</v>
      </c>
      <c r="B60" s="334"/>
      <c r="C60" s="334"/>
      <c r="E60" s="334"/>
      <c r="G60" s="334"/>
    </row>
    <row r="61" spans="1:7" ht="15" customHeight="1" x14ac:dyDescent="0.3">
      <c r="A61" s="333" t="s">
        <v>29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18" sqref="C18"/>
    </sheetView>
  </sheetViews>
  <sheetFormatPr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9"/>
  </cols>
  <sheetData>
    <row r="14" spans="1:6" ht="15" customHeight="1" x14ac:dyDescent="0.3">
      <c r="A14" s="289"/>
      <c r="C14" s="291"/>
      <c r="F14" s="291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293" t="s">
        <v>1</v>
      </c>
      <c r="B16" s="294" t="s">
        <v>2</v>
      </c>
    </row>
    <row r="17" spans="1:5" ht="16.5" customHeight="1" x14ac:dyDescent="0.3">
      <c r="A17" s="295" t="s">
        <v>3</v>
      </c>
      <c r="B17" s="295" t="s">
        <v>5</v>
      </c>
      <c r="D17" s="296"/>
      <c r="E17" s="297"/>
    </row>
    <row r="18" spans="1:5" ht="16.5" customHeight="1" x14ac:dyDescent="0.3">
      <c r="A18" s="298" t="s">
        <v>4</v>
      </c>
      <c r="B18" s="299" t="s">
        <v>127</v>
      </c>
      <c r="C18" s="297"/>
      <c r="D18" s="297"/>
      <c r="E18" s="297"/>
    </row>
    <row r="19" spans="1:5" ht="16.5" customHeight="1" x14ac:dyDescent="0.3">
      <c r="A19" s="298" t="s">
        <v>6</v>
      </c>
      <c r="B19" s="299" t="s">
        <v>124</v>
      </c>
      <c r="C19" s="297"/>
      <c r="D19" s="297"/>
      <c r="E19" s="297"/>
    </row>
    <row r="20" spans="1:5" ht="16.5" customHeight="1" x14ac:dyDescent="0.3">
      <c r="A20" s="295" t="s">
        <v>7</v>
      </c>
      <c r="B20" s="300">
        <v>15.26</v>
      </c>
      <c r="C20" s="297"/>
      <c r="D20" s="297"/>
      <c r="E20" s="297"/>
    </row>
    <row r="21" spans="1:5" ht="16.5" customHeight="1" x14ac:dyDescent="0.3">
      <c r="A21" s="295" t="s">
        <v>9</v>
      </c>
      <c r="B21" s="301">
        <f>15.625/25*4/100</f>
        <v>2.5000000000000001E-2</v>
      </c>
      <c r="C21" s="297"/>
      <c r="D21" s="297"/>
      <c r="E21" s="297"/>
    </row>
    <row r="22" spans="1:5" ht="15.75" customHeight="1" x14ac:dyDescent="0.25">
      <c r="A22" s="297"/>
      <c r="B22" s="297"/>
      <c r="C22" s="297"/>
      <c r="D22" s="297"/>
      <c r="E22" s="297"/>
    </row>
    <row r="23" spans="1:5" ht="16.5" customHeight="1" x14ac:dyDescent="0.3">
      <c r="A23" s="302" t="s">
        <v>12</v>
      </c>
      <c r="B23" s="303" t="s">
        <v>13</v>
      </c>
      <c r="C23" s="302" t="s">
        <v>14</v>
      </c>
      <c r="D23" s="302" t="s">
        <v>15</v>
      </c>
      <c r="E23" s="302" t="s">
        <v>16</v>
      </c>
    </row>
    <row r="24" spans="1:5" ht="16.5" customHeight="1" x14ac:dyDescent="0.3">
      <c r="A24" s="304">
        <v>1</v>
      </c>
      <c r="B24" s="305">
        <v>21375063</v>
      </c>
      <c r="C24" s="305">
        <v>3404</v>
      </c>
      <c r="D24" s="306">
        <v>1.01</v>
      </c>
      <c r="E24" s="307">
        <v>10.050000000000001</v>
      </c>
    </row>
    <row r="25" spans="1:5" ht="16.5" customHeight="1" x14ac:dyDescent="0.3">
      <c r="A25" s="304">
        <v>2</v>
      </c>
      <c r="B25" s="305">
        <v>21408795</v>
      </c>
      <c r="C25" s="305">
        <v>3025</v>
      </c>
      <c r="D25" s="306">
        <v>1.06</v>
      </c>
      <c r="E25" s="306">
        <v>10.02</v>
      </c>
    </row>
    <row r="26" spans="1:5" ht="16.5" customHeight="1" x14ac:dyDescent="0.3">
      <c r="A26" s="304">
        <v>3</v>
      </c>
      <c r="B26" s="305">
        <v>21427911</v>
      </c>
      <c r="C26" s="305">
        <v>2994</v>
      </c>
      <c r="D26" s="306">
        <v>1.1100000000000001</v>
      </c>
      <c r="E26" s="306">
        <v>10.02</v>
      </c>
    </row>
    <row r="27" spans="1:5" ht="16.5" customHeight="1" x14ac:dyDescent="0.3">
      <c r="A27" s="304">
        <v>4</v>
      </c>
      <c r="B27" s="305">
        <v>21404582</v>
      </c>
      <c r="C27" s="305">
        <v>3131</v>
      </c>
      <c r="D27" s="306">
        <v>1.1299999999999999</v>
      </c>
      <c r="E27" s="306">
        <v>10.02</v>
      </c>
    </row>
    <row r="28" spans="1:5" ht="16.5" customHeight="1" x14ac:dyDescent="0.3">
      <c r="A28" s="304">
        <v>5</v>
      </c>
      <c r="B28" s="305">
        <v>21391587</v>
      </c>
      <c r="C28" s="305">
        <v>3261</v>
      </c>
      <c r="D28" s="306">
        <v>1.1399999999999999</v>
      </c>
      <c r="E28" s="306">
        <v>10.029999999999999</v>
      </c>
    </row>
    <row r="29" spans="1:5" ht="16.5" customHeight="1" x14ac:dyDescent="0.3">
      <c r="A29" s="304">
        <v>6</v>
      </c>
      <c r="B29" s="308">
        <v>21368302</v>
      </c>
      <c r="C29" s="308">
        <v>3392</v>
      </c>
      <c r="D29" s="309">
        <v>1.1399999999999999</v>
      </c>
      <c r="E29" s="309">
        <v>10.01</v>
      </c>
    </row>
    <row r="30" spans="1:5" ht="16.5" customHeight="1" x14ac:dyDescent="0.3">
      <c r="A30" s="310" t="s">
        <v>17</v>
      </c>
      <c r="B30" s="311">
        <f>AVERAGE(B24:B29)</f>
        <v>21396040</v>
      </c>
      <c r="C30" s="312">
        <f>AVERAGE(C24:C29)</f>
        <v>3201.1666666666665</v>
      </c>
      <c r="D30" s="313">
        <f>AVERAGE(D24:D29)</f>
        <v>1.0983333333333334</v>
      </c>
      <c r="E30" s="313">
        <f>AVERAGE(E24:E29)</f>
        <v>10.025</v>
      </c>
    </row>
    <row r="31" spans="1:5" ht="16.5" customHeight="1" x14ac:dyDescent="0.3">
      <c r="A31" s="314" t="s">
        <v>18</v>
      </c>
      <c r="B31" s="315">
        <f>(STDEV(B24:B29)/B30)</f>
        <v>1.041038258462782E-3</v>
      </c>
      <c r="C31" s="316"/>
      <c r="D31" s="316"/>
      <c r="E31" s="317"/>
    </row>
    <row r="32" spans="1:5" s="290" customFormat="1" ht="16.5" customHeight="1" x14ac:dyDescent="0.3">
      <c r="A32" s="318" t="s">
        <v>19</v>
      </c>
      <c r="B32" s="319">
        <f>COUNT(B24:B29)</f>
        <v>6</v>
      </c>
      <c r="C32" s="320"/>
      <c r="D32" s="321"/>
      <c r="E32" s="322"/>
    </row>
    <row r="33" spans="1:5" s="290" customFormat="1" ht="15.75" customHeight="1" x14ac:dyDescent="0.25">
      <c r="A33" s="297"/>
      <c r="B33" s="297"/>
      <c r="C33" s="297"/>
      <c r="D33" s="297"/>
      <c r="E33" s="297"/>
    </row>
    <row r="34" spans="1:5" s="290" customFormat="1" ht="16.5" customHeight="1" x14ac:dyDescent="0.3">
      <c r="A34" s="298" t="s">
        <v>20</v>
      </c>
      <c r="B34" s="323" t="s">
        <v>21</v>
      </c>
      <c r="C34" s="324"/>
      <c r="D34" s="324"/>
      <c r="E34" s="324"/>
    </row>
    <row r="35" spans="1:5" ht="16.5" customHeight="1" x14ac:dyDescent="0.3">
      <c r="A35" s="298"/>
      <c r="B35" s="323" t="s">
        <v>22</v>
      </c>
      <c r="C35" s="324"/>
      <c r="D35" s="324"/>
      <c r="E35" s="324"/>
    </row>
    <row r="36" spans="1:5" ht="16.5" customHeight="1" x14ac:dyDescent="0.3">
      <c r="A36" s="298"/>
      <c r="B36" s="323" t="s">
        <v>23</v>
      </c>
      <c r="C36" s="324"/>
      <c r="D36" s="324"/>
      <c r="E36" s="324"/>
    </row>
    <row r="37" spans="1:5" ht="15.75" customHeight="1" x14ac:dyDescent="0.25">
      <c r="A37" s="297"/>
      <c r="B37" s="297"/>
      <c r="C37" s="297"/>
      <c r="D37" s="297"/>
      <c r="E37" s="297"/>
    </row>
    <row r="38" spans="1:5" ht="16.5" customHeight="1" x14ac:dyDescent="0.3">
      <c r="A38" s="293" t="s">
        <v>1</v>
      </c>
      <c r="B38" s="294" t="s">
        <v>24</v>
      </c>
    </row>
    <row r="39" spans="1:5" ht="16.5" customHeight="1" x14ac:dyDescent="0.3">
      <c r="A39" s="298" t="s">
        <v>4</v>
      </c>
      <c r="B39" s="295"/>
      <c r="C39" s="297"/>
      <c r="D39" s="297"/>
      <c r="E39" s="297"/>
    </row>
    <row r="40" spans="1:5" ht="16.5" customHeight="1" x14ac:dyDescent="0.3">
      <c r="A40" s="298" t="s">
        <v>6</v>
      </c>
      <c r="B40" s="299"/>
      <c r="C40" s="297"/>
      <c r="D40" s="297"/>
      <c r="E40" s="297"/>
    </row>
    <row r="41" spans="1:5" ht="16.5" customHeight="1" x14ac:dyDescent="0.3">
      <c r="A41" s="295" t="s">
        <v>7</v>
      </c>
      <c r="B41" s="299"/>
      <c r="C41" s="297"/>
      <c r="D41" s="297"/>
      <c r="E41" s="297"/>
    </row>
    <row r="42" spans="1:5" ht="16.5" customHeight="1" x14ac:dyDescent="0.3">
      <c r="A42" s="295" t="s">
        <v>9</v>
      </c>
      <c r="B42" s="325"/>
      <c r="C42" s="297"/>
      <c r="D42" s="297"/>
      <c r="E42" s="297"/>
    </row>
    <row r="43" spans="1:5" ht="15.75" customHeight="1" x14ac:dyDescent="0.25">
      <c r="A43" s="297"/>
      <c r="B43" s="297"/>
      <c r="C43" s="297"/>
      <c r="D43" s="297"/>
      <c r="E43" s="297"/>
    </row>
    <row r="44" spans="1:5" ht="16.5" customHeight="1" x14ac:dyDescent="0.3">
      <c r="A44" s="302" t="s">
        <v>12</v>
      </c>
      <c r="B44" s="303" t="s">
        <v>13</v>
      </c>
      <c r="C44" s="302" t="s">
        <v>14</v>
      </c>
      <c r="D44" s="302" t="s">
        <v>15</v>
      </c>
      <c r="E44" s="302" t="s">
        <v>16</v>
      </c>
    </row>
    <row r="45" spans="1:5" ht="16.5" customHeight="1" x14ac:dyDescent="0.3">
      <c r="A45" s="304">
        <v>1</v>
      </c>
      <c r="B45" s="305"/>
      <c r="C45" s="305"/>
      <c r="D45" s="306"/>
      <c r="E45" s="307"/>
    </row>
    <row r="46" spans="1:5" ht="16.5" customHeight="1" x14ac:dyDescent="0.3">
      <c r="A46" s="304">
        <v>2</v>
      </c>
      <c r="B46" s="305"/>
      <c r="C46" s="305"/>
      <c r="D46" s="306"/>
      <c r="E46" s="306"/>
    </row>
    <row r="47" spans="1:5" ht="16.5" customHeight="1" x14ac:dyDescent="0.3">
      <c r="A47" s="304">
        <v>3</v>
      </c>
      <c r="B47" s="305"/>
      <c r="C47" s="305"/>
      <c r="D47" s="306"/>
      <c r="E47" s="306"/>
    </row>
    <row r="48" spans="1:5" ht="16.5" customHeight="1" x14ac:dyDescent="0.3">
      <c r="A48" s="304">
        <v>4</v>
      </c>
      <c r="B48" s="305"/>
      <c r="C48" s="305"/>
      <c r="D48" s="306"/>
      <c r="E48" s="306"/>
    </row>
    <row r="49" spans="1:7" ht="16.5" customHeight="1" x14ac:dyDescent="0.3">
      <c r="A49" s="304">
        <v>5</v>
      </c>
      <c r="B49" s="305"/>
      <c r="C49" s="305"/>
      <c r="D49" s="306"/>
      <c r="E49" s="306"/>
    </row>
    <row r="50" spans="1:7" ht="16.5" customHeight="1" x14ac:dyDescent="0.3">
      <c r="A50" s="304">
        <v>6</v>
      </c>
      <c r="B50" s="308"/>
      <c r="C50" s="308"/>
      <c r="D50" s="309"/>
      <c r="E50" s="309"/>
    </row>
    <row r="51" spans="1:7" ht="16.5" customHeight="1" x14ac:dyDescent="0.3">
      <c r="A51" s="310" t="s">
        <v>17</v>
      </c>
      <c r="B51" s="311" t="e">
        <f>AVERAGE(B45:B50)</f>
        <v>#DIV/0!</v>
      </c>
      <c r="C51" s="312" t="e">
        <f>AVERAGE(C45:C50)</f>
        <v>#DIV/0!</v>
      </c>
      <c r="D51" s="313" t="e">
        <f>AVERAGE(D45:D50)</f>
        <v>#DIV/0!</v>
      </c>
      <c r="E51" s="313" t="e">
        <f>AVERAGE(E45:E50)</f>
        <v>#DIV/0!</v>
      </c>
    </row>
    <row r="52" spans="1:7" ht="16.5" customHeight="1" x14ac:dyDescent="0.3">
      <c r="A52" s="314" t="s">
        <v>18</v>
      </c>
      <c r="B52" s="315" t="e">
        <f>(STDEV(B45:B50)/B51)</f>
        <v>#DIV/0!</v>
      </c>
      <c r="C52" s="316"/>
      <c r="D52" s="316"/>
      <c r="E52" s="317"/>
    </row>
    <row r="53" spans="1:7" s="290" customFormat="1" ht="16.5" customHeight="1" x14ac:dyDescent="0.3">
      <c r="A53" s="318" t="s">
        <v>19</v>
      </c>
      <c r="B53" s="319">
        <f>COUNT(B45:B50)</f>
        <v>0</v>
      </c>
      <c r="C53" s="320"/>
      <c r="D53" s="321"/>
      <c r="E53" s="322"/>
    </row>
    <row r="54" spans="1:7" s="290" customFormat="1" ht="15.75" customHeight="1" x14ac:dyDescent="0.25">
      <c r="A54" s="297"/>
      <c r="B54" s="297"/>
      <c r="C54" s="297"/>
      <c r="D54" s="297"/>
      <c r="E54" s="297"/>
    </row>
    <row r="55" spans="1:7" s="290" customFormat="1" ht="16.5" customHeight="1" x14ac:dyDescent="0.3">
      <c r="A55" s="298" t="s">
        <v>20</v>
      </c>
      <c r="B55" s="323" t="s">
        <v>21</v>
      </c>
      <c r="C55" s="324"/>
      <c r="D55" s="324"/>
      <c r="E55" s="324"/>
    </row>
    <row r="56" spans="1:7" ht="16.5" customHeight="1" x14ac:dyDescent="0.3">
      <c r="A56" s="298"/>
      <c r="B56" s="323" t="s">
        <v>22</v>
      </c>
      <c r="C56" s="324"/>
      <c r="D56" s="324"/>
      <c r="E56" s="324"/>
    </row>
    <row r="57" spans="1:7" ht="16.5" customHeight="1" x14ac:dyDescent="0.3">
      <c r="A57" s="298"/>
      <c r="B57" s="323" t="s">
        <v>23</v>
      </c>
      <c r="C57" s="324"/>
      <c r="D57" s="324"/>
      <c r="E57" s="324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25</v>
      </c>
      <c r="C59" s="330"/>
      <c r="E59" s="331" t="s">
        <v>26</v>
      </c>
      <c r="F59" s="332"/>
      <c r="G59" s="331" t="s">
        <v>27</v>
      </c>
    </row>
    <row r="60" spans="1:7" ht="15" customHeight="1" x14ac:dyDescent="0.3">
      <c r="A60" s="333" t="s">
        <v>28</v>
      </c>
      <c r="B60" s="334"/>
      <c r="C60" s="334"/>
      <c r="E60" s="334"/>
      <c r="G60" s="334"/>
    </row>
    <row r="61" spans="1:7" ht="15" customHeight="1" x14ac:dyDescent="0.3">
      <c r="A61" s="333" t="s">
        <v>29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3" sqref="B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5" t="s">
        <v>30</v>
      </c>
      <c r="B11" s="246"/>
      <c r="C11" s="246"/>
      <c r="D11" s="246"/>
      <c r="E11" s="246"/>
      <c r="F11" s="247"/>
      <c r="G11" s="45"/>
    </row>
    <row r="12" spans="1:7" ht="16.5" customHeight="1" x14ac:dyDescent="0.3">
      <c r="A12" s="244" t="s">
        <v>31</v>
      </c>
      <c r="B12" s="244"/>
      <c r="C12" s="244"/>
      <c r="D12" s="244"/>
      <c r="E12" s="244"/>
      <c r="F12" s="244"/>
      <c r="G12" s="44"/>
    </row>
    <row r="14" spans="1:7" ht="16.5" customHeight="1" x14ac:dyDescent="0.3">
      <c r="A14" s="249" t="s">
        <v>32</v>
      </c>
      <c r="B14" s="249"/>
      <c r="C14" s="14" t="s">
        <v>129</v>
      </c>
    </row>
    <row r="15" spans="1:7" ht="16.5" customHeight="1" x14ac:dyDescent="0.3">
      <c r="A15" s="249" t="s">
        <v>33</v>
      </c>
      <c r="B15" s="249"/>
      <c r="C15" s="14" t="s">
        <v>127</v>
      </c>
    </row>
    <row r="16" spans="1:7" ht="16.5" customHeight="1" x14ac:dyDescent="0.3">
      <c r="A16" s="249" t="s">
        <v>34</v>
      </c>
      <c r="B16" s="249"/>
      <c r="C16" s="14" t="s">
        <v>8</v>
      </c>
    </row>
    <row r="17" spans="1:5" ht="16.5" customHeight="1" x14ac:dyDescent="0.3">
      <c r="A17" s="249" t="s">
        <v>35</v>
      </c>
      <c r="B17" s="249"/>
      <c r="C17" s="14" t="s">
        <v>10</v>
      </c>
    </row>
    <row r="18" spans="1:5" ht="16.5" customHeight="1" x14ac:dyDescent="0.3">
      <c r="A18" s="249" t="s">
        <v>36</v>
      </c>
      <c r="B18" s="249"/>
      <c r="C18" s="51" t="s">
        <v>11</v>
      </c>
    </row>
    <row r="19" spans="1:5" ht="16.5" customHeight="1" x14ac:dyDescent="0.3">
      <c r="A19" s="249" t="s">
        <v>37</v>
      </c>
      <c r="B19" s="249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244" t="s">
        <v>1</v>
      </c>
      <c r="B21" s="244"/>
      <c r="C21" s="13" t="s">
        <v>38</v>
      </c>
      <c r="D21" s="20"/>
    </row>
    <row r="22" spans="1:5" ht="15.75" customHeight="1" x14ac:dyDescent="0.3">
      <c r="A22" s="248"/>
      <c r="B22" s="248"/>
      <c r="C22" s="11"/>
      <c r="D22" s="248"/>
      <c r="E22" s="248"/>
    </row>
    <row r="23" spans="1:5" ht="33.75" customHeight="1" x14ac:dyDescent="0.3">
      <c r="C23" s="40" t="s">
        <v>39</v>
      </c>
      <c r="D23" s="39" t="s">
        <v>40</v>
      </c>
      <c r="E23" s="6"/>
    </row>
    <row r="24" spans="1:5" ht="15.75" customHeight="1" x14ac:dyDescent="0.3">
      <c r="C24" s="49">
        <v>1256.25</v>
      </c>
      <c r="D24" s="41">
        <f t="shared" ref="D24:D43" si="0">(C24-$C$46)/$C$46</f>
        <v>7.5718981804752373E-4</v>
      </c>
      <c r="E24" s="7"/>
    </row>
    <row r="25" spans="1:5" ht="15.75" customHeight="1" x14ac:dyDescent="0.3">
      <c r="C25" s="49">
        <v>1249.5</v>
      </c>
      <c r="D25" s="42">
        <f t="shared" si="0"/>
        <v>-4.6200129929151196E-3</v>
      </c>
      <c r="E25" s="7"/>
    </row>
    <row r="26" spans="1:5" ht="15.75" customHeight="1" x14ac:dyDescent="0.3">
      <c r="C26" s="49">
        <v>1256.6099999999999</v>
      </c>
      <c r="D26" s="42">
        <f t="shared" si="0"/>
        <v>1.0439739679654516E-3</v>
      </c>
      <c r="E26" s="7"/>
    </row>
    <row r="27" spans="1:5" ht="15.75" customHeight="1" x14ac:dyDescent="0.3">
      <c r="C27" s="49">
        <v>1246.47</v>
      </c>
      <c r="D27" s="42">
        <f t="shared" si="0"/>
        <v>-7.033779588058329E-3</v>
      </c>
      <c r="E27" s="7"/>
    </row>
    <row r="28" spans="1:5" ht="15.75" customHeight="1" x14ac:dyDescent="0.3">
      <c r="C28" s="49">
        <v>1250.71</v>
      </c>
      <c r="D28" s="42">
        <f t="shared" si="0"/>
        <v>-3.6560996001351207E-3</v>
      </c>
      <c r="E28" s="7"/>
    </row>
    <row r="29" spans="1:5" ht="15.75" customHeight="1" x14ac:dyDescent="0.3">
      <c r="C29" s="49">
        <v>1250.28</v>
      </c>
      <c r="D29" s="42">
        <f t="shared" si="0"/>
        <v>-3.9986473347594581E-3</v>
      </c>
      <c r="E29" s="7"/>
    </row>
    <row r="30" spans="1:5" ht="15.75" customHeight="1" x14ac:dyDescent="0.3">
      <c r="C30" s="49">
        <v>1257.95</v>
      </c>
      <c r="D30" s="42">
        <f t="shared" si="0"/>
        <v>2.1114483037714851E-3</v>
      </c>
      <c r="E30" s="7"/>
    </row>
    <row r="31" spans="1:5" ht="15.75" customHeight="1" x14ac:dyDescent="0.3">
      <c r="C31" s="49">
        <v>1254.49</v>
      </c>
      <c r="D31" s="42">
        <f t="shared" si="0"/>
        <v>-6.4486602599606198E-4</v>
      </c>
      <c r="E31" s="7"/>
    </row>
    <row r="32" spans="1:5" ht="15.75" customHeight="1" x14ac:dyDescent="0.3">
      <c r="C32" s="49">
        <v>1252.53</v>
      </c>
      <c r="D32" s="42">
        <f t="shared" si="0"/>
        <v>-2.2062463977719103E-3</v>
      </c>
      <c r="E32" s="7"/>
    </row>
    <row r="33" spans="1:7" ht="15.75" customHeight="1" x14ac:dyDescent="0.3">
      <c r="C33" s="49">
        <v>1249.31</v>
      </c>
      <c r="D33" s="42">
        <f t="shared" si="0"/>
        <v>-4.771371294260778E-3</v>
      </c>
      <c r="E33" s="7"/>
    </row>
    <row r="34" spans="1:7" ht="15.75" customHeight="1" x14ac:dyDescent="0.3">
      <c r="C34" s="49">
        <v>1254.1600000000001</v>
      </c>
      <c r="D34" s="42">
        <f t="shared" si="0"/>
        <v>-9.0775149675417777E-4</v>
      </c>
      <c r="E34" s="7"/>
    </row>
    <row r="35" spans="1:7" ht="15.75" customHeight="1" x14ac:dyDescent="0.3">
      <c r="C35" s="49">
        <v>1261.1099999999999</v>
      </c>
      <c r="D35" s="42">
        <f t="shared" si="0"/>
        <v>4.6287758419405476E-3</v>
      </c>
      <c r="E35" s="7"/>
    </row>
    <row r="36" spans="1:7" ht="15.75" customHeight="1" x14ac:dyDescent="0.3">
      <c r="C36" s="49">
        <v>1266.73</v>
      </c>
      <c r="D36" s="42">
        <f t="shared" si="0"/>
        <v>9.1057950712162047E-3</v>
      </c>
      <c r="E36" s="7"/>
    </row>
    <row r="37" spans="1:7" ht="15.75" customHeight="1" x14ac:dyDescent="0.3">
      <c r="C37" s="49">
        <v>1256.83</v>
      </c>
      <c r="D37" s="42">
        <f t="shared" si="0"/>
        <v>1.2192309484709224E-3</v>
      </c>
      <c r="E37" s="7"/>
    </row>
    <row r="38" spans="1:7" ht="15.75" customHeight="1" x14ac:dyDescent="0.3">
      <c r="C38" s="49">
        <v>1261.3800000000001</v>
      </c>
      <c r="D38" s="42">
        <f t="shared" si="0"/>
        <v>4.8438639543792192E-3</v>
      </c>
      <c r="E38" s="7"/>
    </row>
    <row r="39" spans="1:7" ht="15.75" customHeight="1" x14ac:dyDescent="0.3">
      <c r="C39" s="49">
        <v>1255.58</v>
      </c>
      <c r="D39" s="42">
        <f t="shared" si="0"/>
        <v>2.2345265014450704E-4</v>
      </c>
      <c r="E39" s="7"/>
    </row>
    <row r="40" spans="1:7" ht="15.75" customHeight="1" x14ac:dyDescent="0.3">
      <c r="C40" s="49">
        <v>1261.07</v>
      </c>
      <c r="D40" s="42">
        <f t="shared" si="0"/>
        <v>4.5969109363941307E-3</v>
      </c>
      <c r="E40" s="7"/>
    </row>
    <row r="41" spans="1:7" ht="15.75" customHeight="1" x14ac:dyDescent="0.3">
      <c r="C41" s="49">
        <v>1247.56</v>
      </c>
      <c r="D41" s="42">
        <f t="shared" si="0"/>
        <v>-6.1654609119177603E-3</v>
      </c>
      <c r="E41" s="7"/>
    </row>
    <row r="42" spans="1:7" ht="15.75" customHeight="1" x14ac:dyDescent="0.3">
      <c r="C42" s="49">
        <v>1263.28</v>
      </c>
      <c r="D42" s="42">
        <f t="shared" si="0"/>
        <v>6.3574469678352626E-3</v>
      </c>
      <c r="E42" s="7"/>
    </row>
    <row r="43" spans="1:7" ht="16.5" customHeight="1" x14ac:dyDescent="0.3">
      <c r="C43" s="50">
        <v>1254.19</v>
      </c>
      <c r="D43" s="43">
        <f t="shared" si="0"/>
        <v>-8.8385281759436555E-4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41</v>
      </c>
      <c r="C45" s="37">
        <f>SUM(C24:C44)</f>
        <v>25105.989999999998</v>
      </c>
      <c r="D45" s="32"/>
      <c r="E45" s="8"/>
    </row>
    <row r="46" spans="1:7" ht="17.25" customHeight="1" x14ac:dyDescent="0.3">
      <c r="B46" s="36" t="s">
        <v>42</v>
      </c>
      <c r="C46" s="38">
        <f>AVERAGE(C24:C44)</f>
        <v>1255.2994999999999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42</v>
      </c>
      <c r="C48" s="39" t="s">
        <v>43</v>
      </c>
      <c r="D48" s="34"/>
      <c r="G48" s="12"/>
    </row>
    <row r="49" spans="1:6" ht="17.25" customHeight="1" x14ac:dyDescent="0.3">
      <c r="B49" s="242">
        <f>C46</f>
        <v>1255.2994999999999</v>
      </c>
      <c r="C49" s="47">
        <f>-IF(C46&lt;=80,10%,IF(C46&lt;250,7.5%,5%))</f>
        <v>-0.05</v>
      </c>
      <c r="D49" s="35">
        <f>IF(C46&lt;=80,C46*0.9,IF(C46&lt;250,C46*0.925,C46*0.95))</f>
        <v>1192.5345249999998</v>
      </c>
    </row>
    <row r="50" spans="1:6" ht="17.25" customHeight="1" x14ac:dyDescent="0.3">
      <c r="B50" s="243"/>
      <c r="C50" s="48">
        <f>IF(C46&lt;=80, 10%, IF(C46&lt;250, 7.5%, 5%))</f>
        <v>0.05</v>
      </c>
      <c r="D50" s="35">
        <f>IF(C46&lt;=80, C46*1.1, IF(C46&lt;250, C46*1.075, C46*1.05))</f>
        <v>1318.0644749999999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25</v>
      </c>
      <c r="C52" s="21"/>
      <c r="D52" s="22" t="s">
        <v>26</v>
      </c>
      <c r="E52" s="23"/>
      <c r="F52" s="22" t="s">
        <v>27</v>
      </c>
    </row>
    <row r="53" spans="1:6" ht="34.5" customHeight="1" x14ac:dyDescent="0.3">
      <c r="A53" s="24" t="s">
        <v>28</v>
      </c>
      <c r="B53" s="25"/>
      <c r="C53" s="26"/>
      <c r="D53" s="25"/>
      <c r="E53" s="15"/>
      <c r="F53" s="27"/>
    </row>
    <row r="54" spans="1:6" ht="34.5" customHeight="1" x14ac:dyDescent="0.3">
      <c r="A54" s="24" t="s">
        <v>29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A13" zoomScale="55" zoomScaleNormal="40" zoomScalePageLayoutView="55" workbookViewId="0">
      <selection activeCell="B18" sqref="B18: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8" t="s">
        <v>44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45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x14ac:dyDescent="0.3">
      <c r="A15" s="52"/>
    </row>
    <row r="16" spans="1:9" ht="19.5" customHeight="1" x14ac:dyDescent="0.3">
      <c r="A16" s="251" t="s">
        <v>30</v>
      </c>
      <c r="B16" s="252"/>
      <c r="C16" s="252"/>
      <c r="D16" s="252"/>
      <c r="E16" s="252"/>
      <c r="F16" s="252"/>
      <c r="G16" s="252"/>
      <c r="H16" s="253"/>
    </row>
    <row r="17" spans="1:14" ht="20.25" customHeight="1" x14ac:dyDescent="0.25">
      <c r="A17" s="254" t="s">
        <v>46</v>
      </c>
      <c r="B17" s="254"/>
      <c r="C17" s="254"/>
      <c r="D17" s="254"/>
      <c r="E17" s="254"/>
      <c r="F17" s="254"/>
      <c r="G17" s="254"/>
      <c r="H17" s="254"/>
    </row>
    <row r="18" spans="1:14" ht="26.25" customHeight="1" x14ac:dyDescent="0.4">
      <c r="A18" s="54" t="s">
        <v>32</v>
      </c>
      <c r="B18" s="250" t="s">
        <v>129</v>
      </c>
      <c r="C18" s="250"/>
      <c r="D18" s="224"/>
      <c r="E18" s="55"/>
      <c r="F18" s="56"/>
      <c r="G18" s="56"/>
      <c r="H18" s="56"/>
    </row>
    <row r="19" spans="1:14" ht="26.25" customHeight="1" x14ac:dyDescent="0.4">
      <c r="A19" s="54" t="s">
        <v>33</v>
      </c>
      <c r="B19" s="57" t="s">
        <v>127</v>
      </c>
      <c r="C19" s="226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255" t="s">
        <v>8</v>
      </c>
      <c r="C20" s="255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255" t="s">
        <v>10</v>
      </c>
      <c r="C21" s="255"/>
      <c r="D21" s="255"/>
      <c r="E21" s="255"/>
      <c r="F21" s="255"/>
      <c r="G21" s="255"/>
      <c r="H21" s="255"/>
      <c r="I21" s="58"/>
    </row>
    <row r="22" spans="1:14" ht="26.25" customHeight="1" x14ac:dyDescent="0.4">
      <c r="A22" s="54" t="s">
        <v>36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50" t="s">
        <v>124</v>
      </c>
      <c r="C26" s="250"/>
    </row>
    <row r="27" spans="1:14" ht="26.25" customHeight="1" x14ac:dyDescent="0.4">
      <c r="A27" s="63" t="s">
        <v>47</v>
      </c>
      <c r="B27" s="256" t="s">
        <v>125</v>
      </c>
      <c r="C27" s="256"/>
    </row>
    <row r="28" spans="1:14" ht="27" customHeight="1" x14ac:dyDescent="0.4">
      <c r="A28" s="63" t="s">
        <v>6</v>
      </c>
      <c r="B28" s="64">
        <v>99.8</v>
      </c>
    </row>
    <row r="29" spans="1:14" s="3" customFormat="1" ht="27" customHeight="1" x14ac:dyDescent="0.4">
      <c r="A29" s="63" t="s">
        <v>48</v>
      </c>
      <c r="B29" s="65"/>
      <c r="C29" s="257" t="s">
        <v>49</v>
      </c>
      <c r="D29" s="258"/>
      <c r="E29" s="258"/>
      <c r="F29" s="258"/>
      <c r="G29" s="259"/>
      <c r="I29" s="66"/>
      <c r="J29" s="66"/>
      <c r="K29" s="66"/>
      <c r="L29" s="66"/>
    </row>
    <row r="30" spans="1:14" s="3" customFormat="1" ht="19.5" customHeight="1" x14ac:dyDescent="0.3">
      <c r="A30" s="63" t="s">
        <v>50</v>
      </c>
      <c r="B30" s="67">
        <v>0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51</v>
      </c>
      <c r="B31" s="70">
        <v>1</v>
      </c>
      <c r="C31" s="260" t="s">
        <v>52</v>
      </c>
      <c r="D31" s="261"/>
      <c r="E31" s="261"/>
      <c r="F31" s="261"/>
      <c r="G31" s="261"/>
      <c r="H31" s="262"/>
      <c r="I31" s="66"/>
      <c r="J31" s="66"/>
      <c r="K31" s="66"/>
      <c r="L31" s="66"/>
    </row>
    <row r="32" spans="1:14" s="3" customFormat="1" ht="27" customHeight="1" x14ac:dyDescent="0.4">
      <c r="A32" s="63" t="s">
        <v>53</v>
      </c>
      <c r="B32" s="70">
        <v>1</v>
      </c>
      <c r="C32" s="260" t="s">
        <v>54</v>
      </c>
      <c r="D32" s="261"/>
      <c r="E32" s="261"/>
      <c r="F32" s="261"/>
      <c r="G32" s="261"/>
      <c r="H32" s="262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55</v>
      </c>
      <c r="B34" s="75">
        <v>1</v>
      </c>
      <c r="C34" s="53" t="s">
        <v>56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57</v>
      </c>
      <c r="B36" s="77">
        <v>25</v>
      </c>
      <c r="C36" s="53"/>
      <c r="D36" s="263" t="s">
        <v>58</v>
      </c>
      <c r="E36" s="264"/>
      <c r="F36" s="263" t="s">
        <v>59</v>
      </c>
      <c r="G36" s="265"/>
      <c r="J36" s="66"/>
      <c r="K36" s="66"/>
      <c r="L36" s="71"/>
      <c r="M36" s="71"/>
      <c r="N36" s="72"/>
    </row>
    <row r="37" spans="1:14" s="3" customFormat="1" ht="27" customHeight="1" x14ac:dyDescent="0.4">
      <c r="A37" s="78" t="s">
        <v>60</v>
      </c>
      <c r="B37" s="79">
        <v>4</v>
      </c>
      <c r="C37" s="80" t="s">
        <v>61</v>
      </c>
      <c r="D37" s="81" t="s">
        <v>62</v>
      </c>
      <c r="E37" s="82" t="s">
        <v>63</v>
      </c>
      <c r="F37" s="81" t="s">
        <v>62</v>
      </c>
      <c r="G37" s="83" t="s">
        <v>63</v>
      </c>
      <c r="I37" s="84" t="s">
        <v>64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65</v>
      </c>
      <c r="B38" s="79">
        <v>100</v>
      </c>
      <c r="C38" s="85">
        <v>1</v>
      </c>
      <c r="D38" s="86">
        <v>21409685</v>
      </c>
      <c r="E38" s="87">
        <f>IF(ISBLANK(D38),"-",$D$48/$D$45*D38)</f>
        <v>21965709.146011554</v>
      </c>
      <c r="F38" s="86">
        <v>22875996</v>
      </c>
      <c r="G38" s="88">
        <f>IF(ISBLANK(F38),"-",$D$48/$F$45*F38)</f>
        <v>21892038.202321514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66</v>
      </c>
      <c r="B39" s="79">
        <v>1</v>
      </c>
      <c r="C39" s="90">
        <v>2</v>
      </c>
      <c r="D39" s="91">
        <v>21422257</v>
      </c>
      <c r="E39" s="92">
        <f>IF(ISBLANK(D39),"-",$D$48/$D$45*D39)</f>
        <v>21978607.64944043</v>
      </c>
      <c r="F39" s="91">
        <v>22860012</v>
      </c>
      <c r="G39" s="93">
        <f>IF(ISBLANK(F39),"-",$D$48/$F$45*F39)</f>
        <v>21876741.716930196</v>
      </c>
      <c r="I39" s="267">
        <f>ABS((F43/D43*D42)-F42)/D42</f>
        <v>3.1705464969889498E-3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67</v>
      </c>
      <c r="B40" s="79">
        <v>1</v>
      </c>
      <c r="C40" s="90">
        <v>3</v>
      </c>
      <c r="D40" s="91">
        <v>21296853</v>
      </c>
      <c r="E40" s="92">
        <f>IF(ISBLANK(D40),"-",$D$48/$D$45*D40)</f>
        <v>21849946.821887553</v>
      </c>
      <c r="F40" s="91">
        <v>22812116</v>
      </c>
      <c r="G40" s="93">
        <f>IF(ISBLANK(F40),"-",$D$48/$F$45*F40)</f>
        <v>21830905.852046393</v>
      </c>
      <c r="I40" s="267"/>
      <c r="L40" s="71"/>
      <c r="M40" s="71"/>
      <c r="N40" s="94"/>
    </row>
    <row r="41" spans="1:14" ht="27" customHeight="1" x14ac:dyDescent="0.4">
      <c r="A41" s="78" t="s">
        <v>68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69</v>
      </c>
      <c r="B42" s="79">
        <v>1</v>
      </c>
      <c r="C42" s="100" t="s">
        <v>70</v>
      </c>
      <c r="D42" s="101">
        <f>AVERAGE(D38:D41)</f>
        <v>21376265</v>
      </c>
      <c r="E42" s="102">
        <f>AVERAGE(E38:E41)</f>
        <v>21931421.205779847</v>
      </c>
      <c r="F42" s="101">
        <f>AVERAGE(F38:F41)</f>
        <v>22849374.666666668</v>
      </c>
      <c r="G42" s="103">
        <f>AVERAGE(G38:G41)</f>
        <v>21866561.923766036</v>
      </c>
      <c r="H42" s="104"/>
    </row>
    <row r="43" spans="1:14" ht="26.25" customHeight="1" x14ac:dyDescent="0.4">
      <c r="A43" s="78" t="s">
        <v>71</v>
      </c>
      <c r="B43" s="79">
        <v>1</v>
      </c>
      <c r="C43" s="105" t="s">
        <v>72</v>
      </c>
      <c r="D43" s="106">
        <v>15.26</v>
      </c>
      <c r="E43" s="94"/>
      <c r="F43" s="106">
        <v>16.36</v>
      </c>
      <c r="H43" s="104"/>
    </row>
    <row r="44" spans="1:14" ht="26.25" customHeight="1" x14ac:dyDescent="0.4">
      <c r="A44" s="78" t="s">
        <v>73</v>
      </c>
      <c r="B44" s="79">
        <v>1</v>
      </c>
      <c r="C44" s="107" t="s">
        <v>74</v>
      </c>
      <c r="D44" s="108">
        <f>D43*$B$34</f>
        <v>15.26</v>
      </c>
      <c r="E44" s="109"/>
      <c r="F44" s="108">
        <f>F43*$B$34</f>
        <v>16.36</v>
      </c>
      <c r="H44" s="104"/>
    </row>
    <row r="45" spans="1:14" ht="19.5" customHeight="1" x14ac:dyDescent="0.3">
      <c r="A45" s="78" t="s">
        <v>75</v>
      </c>
      <c r="B45" s="110">
        <f>(B44/B43)*(B42/B41)*(B40/B39)*(B38/B37)*B36</f>
        <v>625</v>
      </c>
      <c r="C45" s="107" t="s">
        <v>76</v>
      </c>
      <c r="D45" s="111">
        <f>D44*B28/100</f>
        <v>15.229479999999999</v>
      </c>
      <c r="E45" s="112"/>
      <c r="F45" s="111">
        <f>F44*B28/100</f>
        <v>16.327279999999998</v>
      </c>
      <c r="H45" s="104"/>
    </row>
    <row r="46" spans="1:14" ht="19.5" customHeight="1" x14ac:dyDescent="0.3">
      <c r="A46" s="268" t="s">
        <v>77</v>
      </c>
      <c r="B46" s="269"/>
      <c r="C46" s="107" t="s">
        <v>78</v>
      </c>
      <c r="D46" s="113">
        <f>D45/$B$45</f>
        <v>2.4367167999999998E-2</v>
      </c>
      <c r="E46" s="114"/>
      <c r="F46" s="115">
        <f>F45/$B$45</f>
        <v>2.6123647999999996E-2</v>
      </c>
      <c r="H46" s="104"/>
    </row>
    <row r="47" spans="1:14" ht="27" customHeight="1" x14ac:dyDescent="0.4">
      <c r="A47" s="270"/>
      <c r="B47" s="271"/>
      <c r="C47" s="116" t="s">
        <v>79</v>
      </c>
      <c r="D47" s="117">
        <v>2.5000000000000001E-2</v>
      </c>
      <c r="E47" s="118"/>
      <c r="F47" s="114"/>
      <c r="H47" s="104"/>
    </row>
    <row r="48" spans="1:14" ht="18.75" x14ac:dyDescent="0.3">
      <c r="C48" s="119" t="s">
        <v>80</v>
      </c>
      <c r="D48" s="111">
        <f>D47*$B$45</f>
        <v>15.625</v>
      </c>
      <c r="F48" s="120"/>
      <c r="H48" s="104"/>
    </row>
    <row r="49" spans="1:12" ht="19.5" customHeight="1" x14ac:dyDescent="0.3">
      <c r="C49" s="121" t="s">
        <v>81</v>
      </c>
      <c r="D49" s="122">
        <f>D48/B34</f>
        <v>15.625</v>
      </c>
      <c r="F49" s="120"/>
      <c r="H49" s="104"/>
    </row>
    <row r="50" spans="1:12" ht="18.75" x14ac:dyDescent="0.3">
      <c r="C50" s="76" t="s">
        <v>82</v>
      </c>
      <c r="D50" s="123">
        <f>AVERAGE(E38:E41,G38:G41)</f>
        <v>21898991.564772937</v>
      </c>
      <c r="F50" s="124"/>
      <c r="H50" s="104"/>
    </row>
    <row r="51" spans="1:12" ht="18.75" x14ac:dyDescent="0.3">
      <c r="C51" s="78" t="s">
        <v>83</v>
      </c>
      <c r="D51" s="125">
        <f>STDEV(E38:E41,G38:G41)/D50</f>
        <v>2.768200955412956E-3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84</v>
      </c>
    </row>
    <row r="55" spans="1:12" ht="18.75" x14ac:dyDescent="0.3">
      <c r="A55" s="53" t="s">
        <v>85</v>
      </c>
      <c r="B55" s="130" t="str">
        <f>B21</f>
        <v>Each film-coated tablet contains Lopinavir 200 mg, Ritonavir 50 mg</v>
      </c>
    </row>
    <row r="56" spans="1:12" ht="26.25" customHeight="1" x14ac:dyDescent="0.4">
      <c r="A56" s="131" t="s">
        <v>86</v>
      </c>
      <c r="B56" s="132">
        <v>200</v>
      </c>
      <c r="C56" s="53" t="str">
        <f>B20</f>
        <v xml:space="preserve">Lopinavir/ Ritonavir </v>
      </c>
      <c r="H56" s="133"/>
    </row>
    <row r="57" spans="1:12" ht="18.75" x14ac:dyDescent="0.3">
      <c r="A57" s="130" t="s">
        <v>87</v>
      </c>
      <c r="B57" s="225">
        <f>Uniformity!C46</f>
        <v>1255.2994999999999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88</v>
      </c>
      <c r="B59" s="77">
        <v>250</v>
      </c>
      <c r="C59" s="53"/>
      <c r="D59" s="134" t="s">
        <v>89</v>
      </c>
      <c r="E59" s="135" t="s">
        <v>61</v>
      </c>
      <c r="F59" s="135" t="s">
        <v>62</v>
      </c>
      <c r="G59" s="135" t="s">
        <v>90</v>
      </c>
      <c r="H59" s="80" t="s">
        <v>91</v>
      </c>
      <c r="L59" s="66"/>
    </row>
    <row r="60" spans="1:12" s="3" customFormat="1" ht="26.25" customHeight="1" x14ac:dyDescent="0.4">
      <c r="A60" s="78" t="s">
        <v>92</v>
      </c>
      <c r="B60" s="79">
        <v>4</v>
      </c>
      <c r="C60" s="272" t="s">
        <v>93</v>
      </c>
      <c r="D60" s="275">
        <v>6276.88</v>
      </c>
      <c r="E60" s="136">
        <v>1</v>
      </c>
      <c r="F60" s="137">
        <v>22683122</v>
      </c>
      <c r="G60" s="227">
        <f>IF(ISBLANK(F60),"-",(F60/$D$50*$D$47*$B$68)*($B$57/$D$60))</f>
        <v>202.29366632839981</v>
      </c>
      <c r="H60" s="138"/>
      <c r="L60" s="66"/>
    </row>
    <row r="61" spans="1:12" s="3" customFormat="1" ht="26.25" customHeight="1" x14ac:dyDescent="0.4">
      <c r="A61" s="78" t="s">
        <v>94</v>
      </c>
      <c r="B61" s="79">
        <v>50</v>
      </c>
      <c r="C61" s="273"/>
      <c r="D61" s="276"/>
      <c r="E61" s="139">
        <v>2</v>
      </c>
      <c r="F61" s="91">
        <v>22706319</v>
      </c>
      <c r="G61" s="228">
        <f>IF(ISBLANK(F61),"-",(F61/$D$50*$D$47*$B$68)*($B$57/$D$60))</f>
        <v>202.50054288524328</v>
      </c>
      <c r="H61" s="140"/>
      <c r="L61" s="66"/>
    </row>
    <row r="62" spans="1:12" s="3" customFormat="1" ht="26.25" customHeight="1" x14ac:dyDescent="0.4">
      <c r="A62" s="78" t="s">
        <v>95</v>
      </c>
      <c r="B62" s="79">
        <v>4</v>
      </c>
      <c r="C62" s="273"/>
      <c r="D62" s="276"/>
      <c r="E62" s="139">
        <v>3</v>
      </c>
      <c r="F62" s="141">
        <v>22673256</v>
      </c>
      <c r="G62" s="228">
        <f>IF(ISBLANK(F62),"-",(F62/$D$50*$D$47*$B$68)*($B$57/$D$60))</f>
        <v>202.20567891150029</v>
      </c>
      <c r="H62" s="140"/>
      <c r="L62" s="66"/>
    </row>
    <row r="63" spans="1:12" ht="27" customHeight="1" x14ac:dyDescent="0.4">
      <c r="A63" s="78" t="s">
        <v>96</v>
      </c>
      <c r="B63" s="79">
        <v>50</v>
      </c>
      <c r="C63" s="274"/>
      <c r="D63" s="277"/>
      <c r="E63" s="142">
        <v>4</v>
      </c>
      <c r="F63" s="143"/>
      <c r="G63" s="228"/>
      <c r="H63" s="140"/>
    </row>
    <row r="64" spans="1:12" ht="26.25" customHeight="1" x14ac:dyDescent="0.4">
      <c r="A64" s="78" t="s">
        <v>97</v>
      </c>
      <c r="B64" s="79">
        <v>1</v>
      </c>
      <c r="C64" s="272" t="s">
        <v>98</v>
      </c>
      <c r="D64" s="275">
        <v>6281.76</v>
      </c>
      <c r="E64" s="136">
        <v>1</v>
      </c>
      <c r="F64" s="137">
        <v>24175509</v>
      </c>
      <c r="G64" s="229">
        <f>IF(ISBLANK(F64),"-",(F64/$D$50*$D$47*$B$68)*($B$57/$D$64))</f>
        <v>215.43564919735036</v>
      </c>
      <c r="H64" s="144">
        <f t="shared" ref="H64:H70" si="0">IF(ISBLANK(F64),"-",G64/$B$56)</f>
        <v>1.0771782459867518</v>
      </c>
    </row>
    <row r="65" spans="1:8" ht="26.25" customHeight="1" x14ac:dyDescent="0.4">
      <c r="A65" s="78" t="s">
        <v>99</v>
      </c>
      <c r="B65" s="79">
        <v>1</v>
      </c>
      <c r="C65" s="273"/>
      <c r="D65" s="276"/>
      <c r="E65" s="139">
        <v>2</v>
      </c>
      <c r="F65" s="91">
        <v>24131018</v>
      </c>
      <c r="G65" s="230">
        <f>IF(ISBLANK(F65),"-",(F65/$D$50*$D$47*$B$68)*($B$57/$D$64))</f>
        <v>215.03917574694901</v>
      </c>
      <c r="H65" s="145">
        <f t="shared" si="0"/>
        <v>1.0751958787347451</v>
      </c>
    </row>
    <row r="66" spans="1:8" ht="26.25" customHeight="1" x14ac:dyDescent="0.4">
      <c r="A66" s="78" t="s">
        <v>100</v>
      </c>
      <c r="B66" s="79">
        <v>1</v>
      </c>
      <c r="C66" s="273"/>
      <c r="D66" s="276"/>
      <c r="E66" s="139">
        <v>3</v>
      </c>
      <c r="F66" s="91">
        <v>24109485</v>
      </c>
      <c r="G66" s="230">
        <f>IF(ISBLANK(F66),"-",(F66/$D$50*$D$47*$B$68)*($B$57/$D$64))</f>
        <v>214.84728833584361</v>
      </c>
      <c r="H66" s="145">
        <f t="shared" si="0"/>
        <v>1.0742364416792181</v>
      </c>
    </row>
    <row r="67" spans="1:8" ht="27" customHeight="1" x14ac:dyDescent="0.4">
      <c r="A67" s="78" t="s">
        <v>101</v>
      </c>
      <c r="B67" s="79">
        <v>1</v>
      </c>
      <c r="C67" s="274"/>
      <c r="D67" s="277"/>
      <c r="E67" s="142">
        <v>4</v>
      </c>
      <c r="F67" s="143"/>
      <c r="G67" s="231"/>
      <c r="H67" s="146"/>
    </row>
    <row r="68" spans="1:8" ht="26.25" customHeight="1" x14ac:dyDescent="0.4">
      <c r="A68" s="78" t="s">
        <v>102</v>
      </c>
      <c r="B68" s="147">
        <f>(B67/B66)*(B65/B64)*(B63/B62)*(B61/B60)*B59</f>
        <v>39062.5</v>
      </c>
      <c r="C68" s="272" t="s">
        <v>103</v>
      </c>
      <c r="D68" s="275">
        <v>6289.21</v>
      </c>
      <c r="E68" s="136">
        <v>1</v>
      </c>
      <c r="F68" s="137">
        <v>23898436</v>
      </c>
      <c r="G68" s="229">
        <f>IF(ISBLANK(F68),"-",(F68/$D$50*$D$47*$B$68)*($B$57/$D$68))</f>
        <v>212.71429009639414</v>
      </c>
      <c r="H68" s="140">
        <f t="shared" si="0"/>
        <v>1.0635714504819707</v>
      </c>
    </row>
    <row r="69" spans="1:8" ht="27" customHeight="1" x14ac:dyDescent="0.4">
      <c r="A69" s="126" t="s">
        <v>104</v>
      </c>
      <c r="B69" s="148">
        <f>(D47*B68)/B56*B57</f>
        <v>6129.3920898437491</v>
      </c>
      <c r="C69" s="273"/>
      <c r="D69" s="276"/>
      <c r="E69" s="139">
        <v>2</v>
      </c>
      <c r="F69" s="91">
        <v>23888006</v>
      </c>
      <c r="G69" s="230">
        <f>IF(ISBLANK(F69),"-",(F69/$D$50*$D$47*$B$68)*($B$57/$D$68))</f>
        <v>212.62145514913215</v>
      </c>
      <c r="H69" s="140">
        <f t="shared" si="0"/>
        <v>1.0631072757456608</v>
      </c>
    </row>
    <row r="70" spans="1:8" ht="26.25" customHeight="1" x14ac:dyDescent="0.4">
      <c r="A70" s="285" t="s">
        <v>77</v>
      </c>
      <c r="B70" s="286"/>
      <c r="C70" s="273"/>
      <c r="D70" s="276"/>
      <c r="E70" s="139">
        <v>3</v>
      </c>
      <c r="F70" s="91">
        <v>23914435</v>
      </c>
      <c r="G70" s="230">
        <f>IF(ISBLANK(F70),"-",(F70/$D$50*$D$47*$B$68)*($B$57/$D$68))</f>
        <v>212.85669338702172</v>
      </c>
      <c r="H70" s="140">
        <f t="shared" si="0"/>
        <v>1.0642834669351087</v>
      </c>
    </row>
    <row r="71" spans="1:8" ht="27" customHeight="1" x14ac:dyDescent="0.4">
      <c r="A71" s="287"/>
      <c r="B71" s="288"/>
      <c r="C71" s="284"/>
      <c r="D71" s="277"/>
      <c r="E71" s="142">
        <v>4</v>
      </c>
      <c r="F71" s="143"/>
      <c r="G71" s="231"/>
      <c r="H71" s="149"/>
    </row>
    <row r="72" spans="1:8" ht="26.25" customHeight="1" x14ac:dyDescent="0.4">
      <c r="A72" s="150"/>
      <c r="B72" s="150"/>
      <c r="C72" s="150"/>
      <c r="D72" s="150"/>
      <c r="E72" s="150"/>
      <c r="F72" s="151"/>
      <c r="G72" s="152" t="s">
        <v>70</v>
      </c>
      <c r="H72" s="153">
        <f>AVERAGE(H60:H71)</f>
        <v>1.0695954599272426</v>
      </c>
    </row>
    <row r="73" spans="1:8" ht="26.25" customHeight="1" x14ac:dyDescent="0.4">
      <c r="C73" s="150"/>
      <c r="D73" s="150"/>
      <c r="E73" s="150"/>
      <c r="F73" s="151"/>
      <c r="G73" s="154" t="s">
        <v>83</v>
      </c>
      <c r="H73" s="232">
        <f>STDEV(H60:H71)/H72</f>
        <v>6.1592787185722328E-3</v>
      </c>
    </row>
    <row r="74" spans="1:8" ht="27" customHeight="1" x14ac:dyDescent="0.4">
      <c r="A74" s="150"/>
      <c r="B74" s="150"/>
      <c r="C74" s="151"/>
      <c r="D74" s="151"/>
      <c r="E74" s="155"/>
      <c r="F74" s="151"/>
      <c r="G74" s="156" t="s">
        <v>19</v>
      </c>
      <c r="H74" s="157">
        <f>COUNT(H60:H71)</f>
        <v>6</v>
      </c>
    </row>
    <row r="76" spans="1:8" ht="26.25" customHeight="1" x14ac:dyDescent="0.4">
      <c r="A76" s="62" t="s">
        <v>105</v>
      </c>
      <c r="B76" s="158" t="s">
        <v>106</v>
      </c>
      <c r="C76" s="280" t="str">
        <f>B20</f>
        <v xml:space="preserve">Lopinavir/ Ritonavir </v>
      </c>
      <c r="D76" s="280"/>
      <c r="E76" s="159" t="s">
        <v>107</v>
      </c>
      <c r="F76" s="159"/>
      <c r="G76" s="160">
        <f>H72</f>
        <v>1.0695954599272426</v>
      </c>
      <c r="H76" s="161"/>
    </row>
    <row r="77" spans="1:8" ht="18.75" x14ac:dyDescent="0.3">
      <c r="A77" s="61" t="s">
        <v>108</v>
      </c>
      <c r="B77" s="61" t="s">
        <v>109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66" t="str">
        <f>B26</f>
        <v>Lopinavir</v>
      </c>
      <c r="C79" s="266"/>
    </row>
    <row r="80" spans="1:8" ht="26.25" customHeight="1" x14ac:dyDescent="0.4">
      <c r="A80" s="63" t="s">
        <v>47</v>
      </c>
      <c r="B80" s="266" t="str">
        <f>B27</f>
        <v>L21-1</v>
      </c>
      <c r="C80" s="266"/>
    </row>
    <row r="81" spans="1:12" ht="27" customHeight="1" x14ac:dyDescent="0.4">
      <c r="A81" s="63" t="s">
        <v>6</v>
      </c>
      <c r="B81" s="162">
        <f>B28</f>
        <v>99.8</v>
      </c>
    </row>
    <row r="82" spans="1:12" s="3" customFormat="1" ht="27" customHeight="1" x14ac:dyDescent="0.4">
      <c r="A82" s="63" t="s">
        <v>48</v>
      </c>
      <c r="B82" s="65">
        <v>0</v>
      </c>
      <c r="C82" s="257" t="s">
        <v>49</v>
      </c>
      <c r="D82" s="258"/>
      <c r="E82" s="258"/>
      <c r="F82" s="258"/>
      <c r="G82" s="259"/>
      <c r="I82" s="66"/>
      <c r="J82" s="66"/>
      <c r="K82" s="66"/>
      <c r="L82" s="66"/>
    </row>
    <row r="83" spans="1:12" s="3" customFormat="1" ht="19.5" customHeight="1" x14ac:dyDescent="0.3">
      <c r="A83" s="63" t="s">
        <v>50</v>
      </c>
      <c r="B83" s="67">
        <f>B81-B82</f>
        <v>99.8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51</v>
      </c>
      <c r="B84" s="70">
        <v>154.46</v>
      </c>
      <c r="C84" s="260" t="s">
        <v>110</v>
      </c>
      <c r="D84" s="261"/>
      <c r="E84" s="261"/>
      <c r="F84" s="261"/>
      <c r="G84" s="261"/>
      <c r="H84" s="262"/>
      <c r="I84" s="66"/>
      <c r="J84" s="66"/>
      <c r="K84" s="66"/>
      <c r="L84" s="66"/>
    </row>
    <row r="85" spans="1:12" s="3" customFormat="1" ht="27" customHeight="1" x14ac:dyDescent="0.4">
      <c r="A85" s="63" t="s">
        <v>53</v>
      </c>
      <c r="B85" s="70">
        <v>165.23</v>
      </c>
      <c r="C85" s="260" t="s">
        <v>111</v>
      </c>
      <c r="D85" s="261"/>
      <c r="E85" s="261"/>
      <c r="F85" s="261"/>
      <c r="G85" s="261"/>
      <c r="H85" s="262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55</v>
      </c>
      <c r="B87" s="75">
        <f>B84/B85</f>
        <v>0.93481813230042976</v>
      </c>
      <c r="C87" s="53" t="s">
        <v>56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57</v>
      </c>
      <c r="B89" s="77">
        <v>25</v>
      </c>
      <c r="D89" s="163" t="s">
        <v>58</v>
      </c>
      <c r="E89" s="164"/>
      <c r="F89" s="263" t="s">
        <v>59</v>
      </c>
      <c r="G89" s="265"/>
    </row>
    <row r="90" spans="1:12" ht="27" customHeight="1" x14ac:dyDescent="0.4">
      <c r="A90" s="78" t="s">
        <v>60</v>
      </c>
      <c r="B90" s="79">
        <v>4</v>
      </c>
      <c r="C90" s="165" t="s">
        <v>61</v>
      </c>
      <c r="D90" s="81" t="s">
        <v>62</v>
      </c>
      <c r="E90" s="82" t="s">
        <v>63</v>
      </c>
      <c r="F90" s="81" t="s">
        <v>62</v>
      </c>
      <c r="G90" s="166" t="s">
        <v>63</v>
      </c>
      <c r="I90" s="84" t="s">
        <v>64</v>
      </c>
    </row>
    <row r="91" spans="1:12" ht="26.25" customHeight="1" x14ac:dyDescent="0.4">
      <c r="A91" s="78" t="s">
        <v>65</v>
      </c>
      <c r="B91" s="79">
        <v>200</v>
      </c>
      <c r="C91" s="167">
        <v>1</v>
      </c>
      <c r="D91" s="86">
        <v>52522362</v>
      </c>
      <c r="E91" s="87">
        <f>IF(ISBLANK(D91),"-",$D$101/$D$98*D91)</f>
        <v>62253596.133263767</v>
      </c>
      <c r="F91" s="86">
        <v>53289728</v>
      </c>
      <c r="G91" s="88">
        <f>IF(ISBLANK(F91),"-",$D$101/$F$98*F91)</f>
        <v>61546083.373475067</v>
      </c>
      <c r="I91" s="89"/>
    </row>
    <row r="92" spans="1:12" ht="26.25" customHeight="1" x14ac:dyDescent="0.4">
      <c r="A92" s="78" t="s">
        <v>66</v>
      </c>
      <c r="B92" s="79">
        <v>1</v>
      </c>
      <c r="C92" s="151">
        <v>2</v>
      </c>
      <c r="D92" s="91">
        <v>52553125</v>
      </c>
      <c r="E92" s="92">
        <f>IF(ISBLANK(D92),"-",$D$101/$D$98*D92)</f>
        <v>62290058.838003658</v>
      </c>
      <c r="F92" s="91">
        <v>53121237</v>
      </c>
      <c r="G92" s="93">
        <f>IF(ISBLANK(F92),"-",$D$101/$F$98*F92)</f>
        <v>61351487.500632927</v>
      </c>
      <c r="I92" s="267">
        <f>ABS((F96/D96*D95)-F95)/D95</f>
        <v>9.1663928758481394E-3</v>
      </c>
    </row>
    <row r="93" spans="1:12" ht="26.25" customHeight="1" x14ac:dyDescent="0.4">
      <c r="A93" s="78" t="s">
        <v>67</v>
      </c>
      <c r="B93" s="79">
        <v>1</v>
      </c>
      <c r="C93" s="151">
        <v>3</v>
      </c>
      <c r="D93" s="91">
        <v>52565096</v>
      </c>
      <c r="E93" s="92">
        <f>IF(ISBLANK(D93),"-",$D$101/$D$98*D93)</f>
        <v>62304247.800017804</v>
      </c>
      <c r="F93" s="91">
        <v>54057613</v>
      </c>
      <c r="G93" s="93">
        <f>IF(ISBLANK(F93),"-",$D$101/$F$98*F93)</f>
        <v>62432939.358764403</v>
      </c>
      <c r="I93" s="267"/>
    </row>
    <row r="94" spans="1:12" ht="27" customHeight="1" x14ac:dyDescent="0.4">
      <c r="A94" s="78" t="s">
        <v>68</v>
      </c>
      <c r="B94" s="79">
        <v>1</v>
      </c>
      <c r="C94" s="168">
        <v>4</v>
      </c>
      <c r="D94" s="96">
        <v>52522362</v>
      </c>
      <c r="E94" s="97">
        <f>IF(ISBLANK(D94),"-",$D$101/$D$98*D94)</f>
        <v>62253596.133263767</v>
      </c>
      <c r="F94" s="169">
        <v>53289728</v>
      </c>
      <c r="G94" s="98">
        <f>IF(ISBLANK(F94),"-",$D$101/$F$98*F94)</f>
        <v>61546083.373475067</v>
      </c>
      <c r="I94" s="99"/>
    </row>
    <row r="95" spans="1:12" ht="27" customHeight="1" x14ac:dyDescent="0.4">
      <c r="A95" s="78" t="s">
        <v>69</v>
      </c>
      <c r="B95" s="79">
        <v>1</v>
      </c>
      <c r="C95" s="170" t="s">
        <v>70</v>
      </c>
      <c r="D95" s="171">
        <f>AVERAGE(D91:D94)</f>
        <v>52540736.25</v>
      </c>
      <c r="E95" s="102">
        <f>AVERAGE(E91:E94)</f>
        <v>62275374.726137251</v>
      </c>
      <c r="F95" s="172">
        <f>AVERAGE(F91:F94)</f>
        <v>53439576.5</v>
      </c>
      <c r="G95" s="173">
        <f>AVERAGE(G91:G94)</f>
        <v>61719148.401586868</v>
      </c>
    </row>
    <row r="96" spans="1:12" ht="26.25" customHeight="1" x14ac:dyDescent="0.4">
      <c r="A96" s="78" t="s">
        <v>71</v>
      </c>
      <c r="B96" s="64">
        <v>1</v>
      </c>
      <c r="C96" s="174" t="s">
        <v>112</v>
      </c>
      <c r="D96" s="175">
        <v>25.12</v>
      </c>
      <c r="E96" s="94"/>
      <c r="F96" s="106">
        <v>25.78</v>
      </c>
    </row>
    <row r="97" spans="1:10" ht="26.25" customHeight="1" x14ac:dyDescent="0.4">
      <c r="A97" s="78" t="s">
        <v>73</v>
      </c>
      <c r="B97" s="64">
        <v>1</v>
      </c>
      <c r="C97" s="176" t="s">
        <v>113</v>
      </c>
      <c r="D97" s="177">
        <f>D96*$B$87</f>
        <v>23.482631483386797</v>
      </c>
      <c r="E97" s="109"/>
      <c r="F97" s="108">
        <f>F96*$B$87</f>
        <v>24.09961145070508</v>
      </c>
    </row>
    <row r="98" spans="1:10" ht="19.5" customHeight="1" x14ac:dyDescent="0.3">
      <c r="A98" s="78" t="s">
        <v>75</v>
      </c>
      <c r="B98" s="178">
        <f>(B97/B96)*(B95/B94)*(B93/B92)*(B91/B90)*B89</f>
        <v>1250</v>
      </c>
      <c r="C98" s="176" t="s">
        <v>114</v>
      </c>
      <c r="D98" s="179">
        <f>D97*$B$83/100</f>
        <v>23.435666220420021</v>
      </c>
      <c r="E98" s="112"/>
      <c r="F98" s="111">
        <f>F97*$B$83/100</f>
        <v>24.05141222780367</v>
      </c>
    </row>
    <row r="99" spans="1:10" ht="19.5" customHeight="1" x14ac:dyDescent="0.3">
      <c r="A99" s="268" t="s">
        <v>77</v>
      </c>
      <c r="B99" s="282"/>
      <c r="C99" s="176" t="s">
        <v>115</v>
      </c>
      <c r="D99" s="180">
        <f>D98/$B$98</f>
        <v>1.8748532976336017E-2</v>
      </c>
      <c r="E99" s="112"/>
      <c r="F99" s="115">
        <f>F98/$B$98</f>
        <v>1.9241129782242936E-2</v>
      </c>
      <c r="G99" s="181"/>
      <c r="H99" s="104"/>
    </row>
    <row r="100" spans="1:10" ht="19.5" customHeight="1" x14ac:dyDescent="0.3">
      <c r="A100" s="270"/>
      <c r="B100" s="283"/>
      <c r="C100" s="176" t="s">
        <v>79</v>
      </c>
      <c r="D100" s="182">
        <f>$B$56/$B$116</f>
        <v>2.2222222222222223E-2</v>
      </c>
      <c r="F100" s="120"/>
      <c r="G100" s="183"/>
      <c r="H100" s="104"/>
    </row>
    <row r="101" spans="1:10" ht="18.75" x14ac:dyDescent="0.3">
      <c r="C101" s="176" t="s">
        <v>80</v>
      </c>
      <c r="D101" s="177">
        <f>D100*$B$98</f>
        <v>27.777777777777779</v>
      </c>
      <c r="F101" s="120"/>
      <c r="G101" s="181"/>
      <c r="H101" s="104"/>
    </row>
    <row r="102" spans="1:10" ht="19.5" customHeight="1" x14ac:dyDescent="0.3">
      <c r="C102" s="184" t="s">
        <v>81</v>
      </c>
      <c r="D102" s="185">
        <f>D101/B34</f>
        <v>27.777777777777779</v>
      </c>
      <c r="F102" s="124"/>
      <c r="G102" s="181"/>
      <c r="H102" s="104"/>
      <c r="J102" s="186"/>
    </row>
    <row r="103" spans="1:10" ht="18.75" x14ac:dyDescent="0.3">
      <c r="C103" s="187" t="s">
        <v>116</v>
      </c>
      <c r="D103" s="188">
        <f>AVERAGE(E91:E94,G91:G94)</f>
        <v>61997261.563862063</v>
      </c>
      <c r="F103" s="124"/>
      <c r="G103" s="189"/>
      <c r="H103" s="104"/>
      <c r="J103" s="190"/>
    </row>
    <row r="104" spans="1:10" ht="18.75" x14ac:dyDescent="0.3">
      <c r="C104" s="154" t="s">
        <v>83</v>
      </c>
      <c r="D104" s="191">
        <f>STDEV(E91:E94,G91:G94)/D103</f>
        <v>7.0184870796218069E-3</v>
      </c>
      <c r="F104" s="124"/>
      <c r="G104" s="181"/>
      <c r="H104" s="104"/>
      <c r="J104" s="190"/>
    </row>
    <row r="105" spans="1:10" ht="19.5" customHeight="1" x14ac:dyDescent="0.3">
      <c r="C105" s="156" t="s">
        <v>19</v>
      </c>
      <c r="D105" s="192">
        <f>COUNT(E91:E94,G91:G94)</f>
        <v>8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117</v>
      </c>
      <c r="B107" s="77">
        <v>900</v>
      </c>
      <c r="C107" s="193" t="s">
        <v>118</v>
      </c>
      <c r="D107" s="194" t="s">
        <v>62</v>
      </c>
      <c r="E107" s="195" t="s">
        <v>119</v>
      </c>
      <c r="F107" s="196" t="s">
        <v>120</v>
      </c>
    </row>
    <row r="108" spans="1:10" ht="26.25" customHeight="1" x14ac:dyDescent="0.4">
      <c r="A108" s="78" t="s">
        <v>121</v>
      </c>
      <c r="B108" s="79">
        <v>5</v>
      </c>
      <c r="C108" s="197">
        <v>1</v>
      </c>
      <c r="D108" s="198">
        <v>87619284</v>
      </c>
      <c r="E108" s="233">
        <f t="shared" ref="E108:E113" si="1">IF(ISBLANK(D108),"-",D108/$D$103*$D$100*$B$116)</f>
        <v>282.65533602559282</v>
      </c>
      <c r="F108" s="199">
        <f t="shared" ref="F108:F113" si="2">IF(ISBLANK(D108), "-", E108/$B$56)</f>
        <v>1.4132766801279641</v>
      </c>
    </row>
    <row r="109" spans="1:10" ht="26.25" customHeight="1" x14ac:dyDescent="0.4">
      <c r="A109" s="78" t="s">
        <v>94</v>
      </c>
      <c r="B109" s="79">
        <v>50</v>
      </c>
      <c r="C109" s="197">
        <v>2</v>
      </c>
      <c r="D109" s="198">
        <v>87231228</v>
      </c>
      <c r="E109" s="234">
        <f t="shared" si="1"/>
        <v>281.40348718513951</v>
      </c>
      <c r="F109" s="200">
        <f t="shared" si="2"/>
        <v>1.4070174359256975</v>
      </c>
    </row>
    <row r="110" spans="1:10" ht="26.25" customHeight="1" x14ac:dyDescent="0.4">
      <c r="A110" s="78" t="s">
        <v>95</v>
      </c>
      <c r="B110" s="79">
        <v>1</v>
      </c>
      <c r="C110" s="197">
        <v>3</v>
      </c>
      <c r="D110" s="198">
        <v>87224653</v>
      </c>
      <c r="E110" s="234">
        <f t="shared" si="1"/>
        <v>281.38227657088282</v>
      </c>
      <c r="F110" s="200">
        <f t="shared" si="2"/>
        <v>1.4069113828544142</v>
      </c>
    </row>
    <row r="111" spans="1:10" ht="26.25" customHeight="1" x14ac:dyDescent="0.4">
      <c r="A111" s="78" t="s">
        <v>96</v>
      </c>
      <c r="B111" s="79">
        <v>1</v>
      </c>
      <c r="C111" s="197">
        <v>4</v>
      </c>
      <c r="D111" s="198">
        <v>86491264</v>
      </c>
      <c r="E111" s="234">
        <f t="shared" si="1"/>
        <v>279.01640110638499</v>
      </c>
      <c r="F111" s="200">
        <f t="shared" si="2"/>
        <v>1.3950820055319249</v>
      </c>
    </row>
    <row r="112" spans="1:10" ht="26.25" customHeight="1" x14ac:dyDescent="0.4">
      <c r="A112" s="78" t="s">
        <v>97</v>
      </c>
      <c r="B112" s="79">
        <v>1</v>
      </c>
      <c r="C112" s="197">
        <v>5</v>
      </c>
      <c r="D112" s="198">
        <v>88080316</v>
      </c>
      <c r="E112" s="234">
        <f t="shared" si="1"/>
        <v>284.14260171562688</v>
      </c>
      <c r="F112" s="200">
        <f t="shared" si="2"/>
        <v>1.4207130085781343</v>
      </c>
    </row>
    <row r="113" spans="1:10" ht="26.25" customHeight="1" x14ac:dyDescent="0.4">
      <c r="A113" s="78" t="s">
        <v>99</v>
      </c>
      <c r="B113" s="79">
        <v>1</v>
      </c>
      <c r="C113" s="201">
        <v>6</v>
      </c>
      <c r="D113" s="202">
        <v>87568449</v>
      </c>
      <c r="E113" s="235">
        <f t="shared" si="1"/>
        <v>282.49134491141223</v>
      </c>
      <c r="F113" s="203">
        <f t="shared" si="2"/>
        <v>1.4124567245570612</v>
      </c>
    </row>
    <row r="114" spans="1:10" ht="26.25" customHeight="1" x14ac:dyDescent="0.4">
      <c r="A114" s="78" t="s">
        <v>100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101</v>
      </c>
      <c r="B115" s="79">
        <v>1</v>
      </c>
      <c r="C115" s="197"/>
      <c r="D115" s="205"/>
      <c r="E115" s="206" t="s">
        <v>70</v>
      </c>
      <c r="F115" s="207">
        <f>AVERAGE(F108:F113)</f>
        <v>1.4092428729291993</v>
      </c>
    </row>
    <row r="116" spans="1:10" ht="27" customHeight="1" x14ac:dyDescent="0.4">
      <c r="A116" s="78" t="s">
        <v>102</v>
      </c>
      <c r="B116" s="110">
        <f>(B115/B114)*(B113/B112)*(B111/B110)*(B109/B108)*B107</f>
        <v>9000</v>
      </c>
      <c r="C116" s="208"/>
      <c r="D116" s="209"/>
      <c r="E116" s="170" t="s">
        <v>83</v>
      </c>
      <c r="F116" s="210">
        <f>STDEV(F108:F113)/F115</f>
        <v>6.0966490078912172E-3</v>
      </c>
      <c r="I116" s="52"/>
    </row>
    <row r="117" spans="1:10" ht="27" customHeight="1" x14ac:dyDescent="0.4">
      <c r="A117" s="268" t="s">
        <v>77</v>
      </c>
      <c r="B117" s="269"/>
      <c r="C117" s="211"/>
      <c r="D117" s="212"/>
      <c r="E117" s="213" t="s">
        <v>19</v>
      </c>
      <c r="F117" s="214">
        <f>COUNT(F108:F113)</f>
        <v>6</v>
      </c>
      <c r="I117" s="52"/>
      <c r="J117" s="190"/>
    </row>
    <row r="118" spans="1:10" ht="19.5" customHeight="1" x14ac:dyDescent="0.3">
      <c r="A118" s="270"/>
      <c r="B118" s="271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3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105</v>
      </c>
      <c r="B120" s="158" t="s">
        <v>122</v>
      </c>
      <c r="C120" s="280" t="str">
        <f>B20</f>
        <v xml:space="preserve">Lopinavir/ Ritonavir </v>
      </c>
      <c r="D120" s="280"/>
      <c r="E120" s="159" t="s">
        <v>123</v>
      </c>
      <c r="F120" s="159"/>
      <c r="G120" s="160">
        <f>F115</f>
        <v>1.4092428729291993</v>
      </c>
      <c r="H120" s="52"/>
      <c r="I120" s="52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281" t="s">
        <v>25</v>
      </c>
      <c r="C122" s="281"/>
      <c r="E122" s="165" t="s">
        <v>26</v>
      </c>
      <c r="F122" s="217"/>
      <c r="G122" s="281" t="s">
        <v>27</v>
      </c>
      <c r="H122" s="281"/>
    </row>
    <row r="123" spans="1:10" ht="69.95" customHeight="1" x14ac:dyDescent="0.3">
      <c r="A123" s="218" t="s">
        <v>28</v>
      </c>
      <c r="B123" s="219"/>
      <c r="C123" s="219"/>
      <c r="E123" s="219"/>
      <c r="F123" s="52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52"/>
      <c r="G124" s="222"/>
      <c r="H124" s="222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zoomScale="40" zoomScaleNormal="40" zoomScalePageLayoutView="40" workbookViewId="0">
      <selection activeCell="E25" sqref="E25"/>
    </sheetView>
  </sheetViews>
  <sheetFormatPr defaultColWidth="9.140625" defaultRowHeight="13.5" x14ac:dyDescent="0.25"/>
  <cols>
    <col min="1" max="1" width="55.42578125" style="181" customWidth="1"/>
    <col min="2" max="2" width="33.7109375" style="181" customWidth="1"/>
    <col min="3" max="3" width="42.28515625" style="181" customWidth="1"/>
    <col min="4" max="4" width="30.5703125" style="181" customWidth="1"/>
    <col min="5" max="5" width="39.85546875" style="181" customWidth="1"/>
    <col min="6" max="6" width="30.7109375" style="181" customWidth="1"/>
    <col min="7" max="7" width="39.85546875" style="181" customWidth="1"/>
    <col min="8" max="8" width="30" style="181" customWidth="1"/>
    <col min="9" max="9" width="30.28515625" style="181" hidden="1" customWidth="1"/>
    <col min="10" max="10" width="30.42578125" style="181" customWidth="1"/>
    <col min="11" max="11" width="21.28515625" style="181" customWidth="1"/>
    <col min="12" max="12" width="9.140625" style="181"/>
    <col min="13" max="16384" width="9.140625" style="5"/>
  </cols>
  <sheetData>
    <row r="1" spans="1:9" ht="18.75" customHeight="1" x14ac:dyDescent="0.25">
      <c r="A1" s="278" t="s">
        <v>44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25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25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25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25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25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25">
      <c r="A8" s="279" t="s">
        <v>45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25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25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25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25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25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25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thickBot="1" x14ac:dyDescent="0.35">
      <c r="A15" s="159"/>
    </row>
    <row r="16" spans="1:9" ht="19.5" customHeight="1" thickBot="1" x14ac:dyDescent="0.35">
      <c r="A16" s="251" t="s">
        <v>30</v>
      </c>
      <c r="B16" s="252"/>
      <c r="C16" s="252"/>
      <c r="D16" s="252"/>
      <c r="E16" s="252"/>
      <c r="F16" s="252"/>
      <c r="G16" s="252"/>
      <c r="H16" s="253"/>
    </row>
    <row r="17" spans="1:14" ht="20.25" customHeight="1" x14ac:dyDescent="0.25">
      <c r="A17" s="254" t="s">
        <v>46</v>
      </c>
      <c r="B17" s="254"/>
      <c r="C17" s="254"/>
      <c r="D17" s="254"/>
      <c r="E17" s="254"/>
      <c r="F17" s="254"/>
      <c r="G17" s="254"/>
      <c r="H17" s="254"/>
    </row>
    <row r="18" spans="1:14" ht="26.25" customHeight="1" x14ac:dyDescent="0.4">
      <c r="A18" s="54" t="s">
        <v>32</v>
      </c>
      <c r="B18" s="250" t="s">
        <v>129</v>
      </c>
      <c r="C18" s="250"/>
      <c r="D18" s="224"/>
      <c r="E18" s="55"/>
      <c r="F18" s="56"/>
      <c r="G18" s="56"/>
      <c r="H18" s="56"/>
    </row>
    <row r="19" spans="1:14" ht="26.25" customHeight="1" x14ac:dyDescent="0.4">
      <c r="A19" s="54" t="s">
        <v>33</v>
      </c>
      <c r="B19" s="241" t="s">
        <v>127</v>
      </c>
      <c r="C19" s="226">
        <v>21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255" t="s">
        <v>8</v>
      </c>
      <c r="C20" s="255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255" t="s">
        <v>10</v>
      </c>
      <c r="C21" s="255"/>
      <c r="D21" s="255"/>
      <c r="E21" s="255"/>
      <c r="F21" s="255"/>
      <c r="G21" s="255"/>
      <c r="H21" s="255"/>
      <c r="I21" s="58"/>
    </row>
    <row r="22" spans="1:14" ht="26.25" customHeight="1" x14ac:dyDescent="0.4">
      <c r="A22" s="54" t="s">
        <v>36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218" t="s">
        <v>4</v>
      </c>
      <c r="B26" s="250" t="s">
        <v>126</v>
      </c>
      <c r="C26" s="250"/>
    </row>
    <row r="27" spans="1:14" ht="26.25" customHeight="1" x14ac:dyDescent="0.4">
      <c r="A27" s="170" t="s">
        <v>47</v>
      </c>
      <c r="B27" s="256" t="s">
        <v>128</v>
      </c>
      <c r="C27" s="256"/>
    </row>
    <row r="28" spans="1:14" ht="27" customHeight="1" thickBot="1" x14ac:dyDescent="0.45">
      <c r="A28" s="170" t="s">
        <v>6</v>
      </c>
      <c r="B28" s="162">
        <v>99.3</v>
      </c>
    </row>
    <row r="29" spans="1:14" s="4" customFormat="1" ht="27" customHeight="1" thickBot="1" x14ac:dyDescent="0.45">
      <c r="A29" s="170" t="s">
        <v>48</v>
      </c>
      <c r="B29" s="65"/>
      <c r="C29" s="257" t="s">
        <v>49</v>
      </c>
      <c r="D29" s="258"/>
      <c r="E29" s="258"/>
      <c r="F29" s="258"/>
      <c r="G29" s="259"/>
      <c r="I29" s="66"/>
      <c r="J29" s="66"/>
      <c r="K29" s="66"/>
      <c r="L29" s="66"/>
    </row>
    <row r="30" spans="1:14" s="4" customFormat="1" ht="19.5" customHeight="1" thickBot="1" x14ac:dyDescent="0.35">
      <c r="A30" s="170" t="s">
        <v>50</v>
      </c>
      <c r="B30" s="236">
        <v>0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" customFormat="1" ht="27" customHeight="1" thickBot="1" x14ac:dyDescent="0.45">
      <c r="A31" s="170" t="s">
        <v>51</v>
      </c>
      <c r="B31" s="70">
        <v>1</v>
      </c>
      <c r="C31" s="260" t="s">
        <v>52</v>
      </c>
      <c r="D31" s="261"/>
      <c r="E31" s="261"/>
      <c r="F31" s="261"/>
      <c r="G31" s="261"/>
      <c r="H31" s="262"/>
      <c r="I31" s="66"/>
      <c r="J31" s="66"/>
      <c r="K31" s="66"/>
      <c r="L31" s="66"/>
    </row>
    <row r="32" spans="1:14" s="4" customFormat="1" ht="27" customHeight="1" thickBot="1" x14ac:dyDescent="0.45">
      <c r="A32" s="170" t="s">
        <v>53</v>
      </c>
      <c r="B32" s="70">
        <v>1</v>
      </c>
      <c r="C32" s="260" t="s">
        <v>54</v>
      </c>
      <c r="D32" s="261"/>
      <c r="E32" s="261"/>
      <c r="F32" s="261"/>
      <c r="G32" s="261"/>
      <c r="H32" s="262"/>
      <c r="I32" s="66"/>
      <c r="J32" s="66"/>
      <c r="K32" s="66"/>
      <c r="L32" s="71"/>
      <c r="M32" s="71"/>
      <c r="N32" s="72"/>
    </row>
    <row r="33" spans="1:14" s="4" customFormat="1" ht="17.25" customHeight="1" x14ac:dyDescent="0.3">
      <c r="A33" s="170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" customFormat="1" ht="18.75" x14ac:dyDescent="0.3">
      <c r="A34" s="170" t="s">
        <v>55</v>
      </c>
      <c r="B34" s="75">
        <v>1</v>
      </c>
      <c r="C34" s="159" t="s">
        <v>56</v>
      </c>
      <c r="D34" s="159"/>
      <c r="E34" s="159"/>
      <c r="F34" s="159"/>
      <c r="G34" s="159"/>
      <c r="I34" s="66"/>
      <c r="J34" s="66"/>
      <c r="K34" s="66"/>
      <c r="L34" s="71"/>
      <c r="M34" s="71"/>
      <c r="N34" s="72"/>
    </row>
    <row r="35" spans="1:14" s="4" customFormat="1" ht="19.5" customHeight="1" thickBot="1" x14ac:dyDescent="0.35">
      <c r="A35" s="170"/>
      <c r="B35" s="236"/>
      <c r="G35" s="159"/>
      <c r="I35" s="66"/>
      <c r="J35" s="66"/>
      <c r="K35" s="66"/>
      <c r="L35" s="71"/>
      <c r="M35" s="71"/>
      <c r="N35" s="72"/>
    </row>
    <row r="36" spans="1:14" s="4" customFormat="1" ht="27" customHeight="1" thickBot="1" x14ac:dyDescent="0.45">
      <c r="A36" s="76" t="s">
        <v>57</v>
      </c>
      <c r="B36" s="77">
        <v>25</v>
      </c>
      <c r="C36" s="159"/>
      <c r="D36" s="263" t="s">
        <v>58</v>
      </c>
      <c r="E36" s="264"/>
      <c r="F36" s="263" t="s">
        <v>59</v>
      </c>
      <c r="G36" s="265"/>
      <c r="J36" s="66"/>
      <c r="K36" s="66"/>
      <c r="L36" s="71"/>
      <c r="M36" s="71"/>
      <c r="N36" s="72"/>
    </row>
    <row r="37" spans="1:14" s="4" customFormat="1" ht="27" customHeight="1" thickBot="1" x14ac:dyDescent="0.45">
      <c r="A37" s="78" t="s">
        <v>60</v>
      </c>
      <c r="B37" s="79">
        <v>1</v>
      </c>
      <c r="C37" s="80" t="s">
        <v>61</v>
      </c>
      <c r="D37" s="81" t="s">
        <v>62</v>
      </c>
      <c r="E37" s="82" t="s">
        <v>63</v>
      </c>
      <c r="F37" s="81" t="s">
        <v>62</v>
      </c>
      <c r="G37" s="83" t="s">
        <v>63</v>
      </c>
      <c r="I37" s="84" t="s">
        <v>64</v>
      </c>
      <c r="J37" s="66"/>
      <c r="K37" s="66"/>
      <c r="L37" s="71"/>
      <c r="M37" s="71"/>
      <c r="N37" s="72"/>
    </row>
    <row r="38" spans="1:14" s="4" customFormat="1" ht="26.25" customHeight="1" x14ac:dyDescent="0.4">
      <c r="A38" s="78" t="s">
        <v>65</v>
      </c>
      <c r="B38" s="79">
        <v>100</v>
      </c>
      <c r="C38" s="85">
        <v>1</v>
      </c>
      <c r="D38" s="86">
        <v>4158976</v>
      </c>
      <c r="E38" s="87">
        <f>IF(ISBLANK(D38),"-",$D$48/$D$45*D38)</f>
        <v>4188294.058408862</v>
      </c>
      <c r="F38" s="86">
        <v>4743432</v>
      </c>
      <c r="G38" s="88">
        <f>IF(ISBLANK(F38),"-",$D$48/$F$45*F38)</f>
        <v>4161280.1915037232</v>
      </c>
      <c r="I38" s="89"/>
      <c r="J38" s="66"/>
      <c r="K38" s="66"/>
      <c r="L38" s="71"/>
      <c r="M38" s="71"/>
      <c r="N38" s="72"/>
    </row>
    <row r="39" spans="1:14" s="4" customFormat="1" ht="26.25" customHeight="1" x14ac:dyDescent="0.4">
      <c r="A39" s="78" t="s">
        <v>66</v>
      </c>
      <c r="B39" s="79">
        <v>1</v>
      </c>
      <c r="C39" s="110">
        <v>2</v>
      </c>
      <c r="D39" s="91">
        <v>4137048</v>
      </c>
      <c r="E39" s="92">
        <f>IF(ISBLANK(D39),"-",$D$48/$D$45*D39)</f>
        <v>4166211.4803625378</v>
      </c>
      <c r="F39" s="91">
        <v>4718826</v>
      </c>
      <c r="G39" s="93">
        <f>IF(ISBLANK(F39),"-",$D$48/$F$45*F39)</f>
        <v>4139694.0360803627</v>
      </c>
      <c r="I39" s="267">
        <f>ABS((F43/D43*D42)-F42)/D42</f>
        <v>6.0796121630343298E-3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67</v>
      </c>
      <c r="B40" s="79">
        <v>1</v>
      </c>
      <c r="C40" s="110">
        <v>3</v>
      </c>
      <c r="D40" s="91">
        <v>4107411</v>
      </c>
      <c r="E40" s="92">
        <f>IF(ISBLANK(D40),"-",$D$48/$D$45*D40)</f>
        <v>4136365.5589123867</v>
      </c>
      <c r="F40" s="91">
        <v>4700644</v>
      </c>
      <c r="G40" s="93">
        <f>IF(ISBLANK(F40),"-",$D$48/$F$45*F40)</f>
        <v>4123743.4761393918</v>
      </c>
      <c r="I40" s="267"/>
      <c r="L40" s="71"/>
      <c r="M40" s="71"/>
      <c r="N40" s="159"/>
    </row>
    <row r="41" spans="1:14" ht="27" customHeight="1" thickBot="1" x14ac:dyDescent="0.45">
      <c r="A41" s="78" t="s">
        <v>68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159"/>
    </row>
    <row r="42" spans="1:14" ht="27" customHeight="1" thickBot="1" x14ac:dyDescent="0.45">
      <c r="A42" s="78" t="s">
        <v>69</v>
      </c>
      <c r="B42" s="79">
        <v>1</v>
      </c>
      <c r="C42" s="100" t="s">
        <v>70</v>
      </c>
      <c r="D42" s="101">
        <f>AVERAGE(D38:D41)</f>
        <v>4134478.3333333335</v>
      </c>
      <c r="E42" s="102">
        <f>AVERAGE(E38:E41)</f>
        <v>4163623.6992279291</v>
      </c>
      <c r="F42" s="101">
        <f>AVERAGE(F38:F41)</f>
        <v>4720967.333333333</v>
      </c>
      <c r="G42" s="103">
        <f>AVERAGE(G38:G41)</f>
        <v>4141572.5679078265</v>
      </c>
      <c r="H42" s="104"/>
    </row>
    <row r="43" spans="1:14" ht="26.25" customHeight="1" x14ac:dyDescent="0.4">
      <c r="A43" s="78" t="s">
        <v>71</v>
      </c>
      <c r="B43" s="79">
        <v>1</v>
      </c>
      <c r="C43" s="105" t="s">
        <v>72</v>
      </c>
      <c r="D43" s="106">
        <v>15.48</v>
      </c>
      <c r="E43" s="159"/>
      <c r="F43" s="106">
        <v>17.77</v>
      </c>
      <c r="H43" s="104"/>
    </row>
    <row r="44" spans="1:14" ht="26.25" customHeight="1" x14ac:dyDescent="0.4">
      <c r="A44" s="78" t="s">
        <v>73</v>
      </c>
      <c r="B44" s="79">
        <v>1</v>
      </c>
      <c r="C44" s="107" t="s">
        <v>74</v>
      </c>
      <c r="D44" s="108">
        <f>D43*$B$34</f>
        <v>15.48</v>
      </c>
      <c r="E44" s="178"/>
      <c r="F44" s="108">
        <f>F43*$B$34</f>
        <v>17.77</v>
      </c>
      <c r="H44" s="104"/>
    </row>
    <row r="45" spans="1:14" ht="19.5" customHeight="1" thickBot="1" x14ac:dyDescent="0.35">
      <c r="A45" s="78" t="s">
        <v>75</v>
      </c>
      <c r="B45" s="110">
        <f>(B44/B43)*(B42/B41)*(B40/B39)*(B38/B37)*B36</f>
        <v>2500</v>
      </c>
      <c r="C45" s="107" t="s">
        <v>76</v>
      </c>
      <c r="D45" s="111">
        <f>D43*B28/100</f>
        <v>15.371639999999999</v>
      </c>
      <c r="E45" s="155"/>
      <c r="F45" s="111">
        <f>F43/100*B28</f>
        <v>17.645609999999998</v>
      </c>
      <c r="H45" s="104"/>
    </row>
    <row r="46" spans="1:14" ht="19.5" customHeight="1" thickBot="1" x14ac:dyDescent="0.35">
      <c r="A46" s="268" t="s">
        <v>77</v>
      </c>
      <c r="B46" s="269"/>
      <c r="C46" s="107" t="s">
        <v>78</v>
      </c>
      <c r="D46" s="113">
        <f>D45/$B$45</f>
        <v>6.1486559999999997E-3</v>
      </c>
      <c r="E46" s="114"/>
      <c r="F46" s="115">
        <f>F45/$B$45</f>
        <v>7.0582439999999991E-3</v>
      </c>
      <c r="H46" s="104"/>
    </row>
    <row r="47" spans="1:14" ht="27" customHeight="1" thickBot="1" x14ac:dyDescent="0.45">
      <c r="A47" s="270"/>
      <c r="B47" s="271"/>
      <c r="C47" s="116" t="s">
        <v>79</v>
      </c>
      <c r="D47" s="117">
        <v>6.2500000000000003E-3</v>
      </c>
      <c r="E47" s="118"/>
      <c r="F47" s="114"/>
      <c r="H47" s="104"/>
    </row>
    <row r="48" spans="1:14" ht="18.75" x14ac:dyDescent="0.3">
      <c r="C48" s="119" t="s">
        <v>80</v>
      </c>
      <c r="D48" s="111">
        <v>15.48</v>
      </c>
      <c r="F48" s="120"/>
      <c r="H48" s="104"/>
    </row>
    <row r="49" spans="1:12" ht="19.5" customHeight="1" thickBot="1" x14ac:dyDescent="0.35">
      <c r="C49" s="121" t="s">
        <v>81</v>
      </c>
      <c r="D49" s="122">
        <f>D48/B34</f>
        <v>15.48</v>
      </c>
      <c r="F49" s="120"/>
      <c r="H49" s="104"/>
    </row>
    <row r="50" spans="1:12" ht="18.75" x14ac:dyDescent="0.3">
      <c r="C50" s="76" t="s">
        <v>82</v>
      </c>
      <c r="D50" s="123">
        <f>AVERAGE(E38:E41,G38:G41)</f>
        <v>4152598.1335678776</v>
      </c>
      <c r="F50" s="124"/>
      <c r="H50" s="104"/>
    </row>
    <row r="51" spans="1:12" ht="18.75" x14ac:dyDescent="0.3">
      <c r="C51" s="78" t="s">
        <v>83</v>
      </c>
      <c r="D51" s="125">
        <f>STDEV(E38:E41,G38:G41)/D50</f>
        <v>5.6961371884180515E-3</v>
      </c>
      <c r="F51" s="124"/>
      <c r="H51" s="104"/>
    </row>
    <row r="52" spans="1:12" ht="19.5" customHeight="1" thickBot="1" x14ac:dyDescent="0.35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84</v>
      </c>
    </row>
    <row r="55" spans="1:12" ht="18.75" x14ac:dyDescent="0.3">
      <c r="A55" s="159" t="s">
        <v>85</v>
      </c>
      <c r="B55" s="131" t="str">
        <f>B21</f>
        <v>Each film-coated tablet contains Lopinavir 200 mg, Ritonavir 50 mg</v>
      </c>
    </row>
    <row r="56" spans="1:12" ht="26.25" customHeight="1" x14ac:dyDescent="0.4">
      <c r="A56" s="131" t="s">
        <v>86</v>
      </c>
      <c r="B56" s="132">
        <v>50</v>
      </c>
      <c r="C56" s="159" t="str">
        <f>B20</f>
        <v xml:space="preserve">Lopinavir/ Ritonavir </v>
      </c>
      <c r="H56" s="178"/>
    </row>
    <row r="57" spans="1:12" ht="18.75" x14ac:dyDescent="0.3">
      <c r="A57" s="131" t="s">
        <v>87</v>
      </c>
      <c r="B57" s="225">
        <v>1255.299</v>
      </c>
      <c r="H57" s="178"/>
    </row>
    <row r="58" spans="1:12" ht="19.5" customHeight="1" thickBot="1" x14ac:dyDescent="0.35">
      <c r="H58" s="178"/>
    </row>
    <row r="59" spans="1:12" s="4" customFormat="1" ht="27" customHeight="1" thickBot="1" x14ac:dyDescent="0.45">
      <c r="A59" s="76" t="s">
        <v>88</v>
      </c>
      <c r="B59" s="77">
        <v>250</v>
      </c>
      <c r="C59" s="159"/>
      <c r="D59" s="134" t="s">
        <v>89</v>
      </c>
      <c r="E59" s="135" t="s">
        <v>61</v>
      </c>
      <c r="F59" s="135" t="s">
        <v>62</v>
      </c>
      <c r="G59" s="135" t="s">
        <v>90</v>
      </c>
      <c r="H59" s="80" t="s">
        <v>91</v>
      </c>
      <c r="L59" s="66"/>
    </row>
    <row r="60" spans="1:12" s="4" customFormat="1" ht="26.25" customHeight="1" x14ac:dyDescent="0.4">
      <c r="A60" s="78" t="s">
        <v>92</v>
      </c>
      <c r="B60" s="79">
        <v>4</v>
      </c>
      <c r="C60" s="272" t="s">
        <v>93</v>
      </c>
      <c r="D60" s="275">
        <v>6276.88</v>
      </c>
      <c r="E60" s="136">
        <v>1</v>
      </c>
      <c r="F60" s="137">
        <v>4018418</v>
      </c>
      <c r="G60" s="227">
        <f>IF(ISBLANK(F60),"-",(F60/$D$50*$D$47*$B$68)*($B$57/$D$60))</f>
        <v>47.247476208210287</v>
      </c>
      <c r="H60" s="138"/>
      <c r="L60" s="66"/>
    </row>
    <row r="61" spans="1:12" s="4" customFormat="1" ht="26.25" customHeight="1" x14ac:dyDescent="0.4">
      <c r="A61" s="78" t="s">
        <v>94</v>
      </c>
      <c r="B61" s="79">
        <v>50</v>
      </c>
      <c r="C61" s="273"/>
      <c r="D61" s="276"/>
      <c r="E61" s="139">
        <v>2</v>
      </c>
      <c r="F61" s="91">
        <v>4020293</v>
      </c>
      <c r="G61" s="228">
        <f>IF(ISBLANK(F61),"-",(F61/$D$50*$D$47*$B$68)*($B$57/$D$60))</f>
        <v>47.26952195305077</v>
      </c>
      <c r="H61" s="140"/>
      <c r="L61" s="66"/>
    </row>
    <row r="62" spans="1:12" s="4" customFormat="1" ht="26.25" customHeight="1" x14ac:dyDescent="0.4">
      <c r="A62" s="78" t="s">
        <v>95</v>
      </c>
      <c r="B62" s="79">
        <v>4</v>
      </c>
      <c r="C62" s="273"/>
      <c r="D62" s="276"/>
      <c r="E62" s="139">
        <v>3</v>
      </c>
      <c r="F62" s="141">
        <v>4020397</v>
      </c>
      <c r="G62" s="228">
        <f>IF(ISBLANK(F62),"-",(F62/$D$50*$D$47*$B$68)*($B$57/$D$60))</f>
        <v>47.270744757031245</v>
      </c>
      <c r="H62" s="140"/>
      <c r="L62" s="66"/>
    </row>
    <row r="63" spans="1:12" ht="27" customHeight="1" thickBot="1" x14ac:dyDescent="0.45">
      <c r="A63" s="78" t="s">
        <v>96</v>
      </c>
      <c r="B63" s="79">
        <v>50</v>
      </c>
      <c r="C63" s="274"/>
      <c r="D63" s="277"/>
      <c r="E63" s="142">
        <v>4</v>
      </c>
      <c r="F63" s="143"/>
      <c r="G63" s="228"/>
      <c r="H63" s="140"/>
    </row>
    <row r="64" spans="1:12" ht="26.25" customHeight="1" x14ac:dyDescent="0.4">
      <c r="A64" s="78" t="s">
        <v>97</v>
      </c>
      <c r="B64" s="79">
        <v>1</v>
      </c>
      <c r="C64" s="272" t="s">
        <v>98</v>
      </c>
      <c r="D64" s="275">
        <v>6281.76</v>
      </c>
      <c r="E64" s="136">
        <v>1</v>
      </c>
      <c r="F64" s="137">
        <v>4277685</v>
      </c>
      <c r="G64" s="229">
        <f>IF(ISBLANK(F64),"-",(F64/$D$50*$D$47*$B$68)*($B$57/$D$64))</f>
        <v>50.256795280001128</v>
      </c>
      <c r="H64" s="144">
        <f t="shared" ref="H64:H70" si="0">IF(ISBLANK(F64),"-",G64/$B$56)</f>
        <v>1.0051359056000226</v>
      </c>
    </row>
    <row r="65" spans="1:8" ht="26.25" customHeight="1" x14ac:dyDescent="0.4">
      <c r="A65" s="78" t="s">
        <v>99</v>
      </c>
      <c r="B65" s="79">
        <v>1</v>
      </c>
      <c r="C65" s="273"/>
      <c r="D65" s="276"/>
      <c r="E65" s="139">
        <v>2</v>
      </c>
      <c r="F65" s="91">
        <v>4280348</v>
      </c>
      <c r="G65" s="230">
        <f>IF(ISBLANK(F65),"-",(F65/$D$50*$D$47*$B$68)*($B$57/$D$64))</f>
        <v>50.288081792643048</v>
      </c>
      <c r="H65" s="145">
        <f t="shared" si="0"/>
        <v>1.0057616358528609</v>
      </c>
    </row>
    <row r="66" spans="1:8" ht="26.25" customHeight="1" x14ac:dyDescent="0.4">
      <c r="A66" s="78" t="s">
        <v>100</v>
      </c>
      <c r="B66" s="79">
        <v>1</v>
      </c>
      <c r="C66" s="273"/>
      <c r="D66" s="276"/>
      <c r="E66" s="139">
        <v>3</v>
      </c>
      <c r="F66" s="91">
        <v>4272796</v>
      </c>
      <c r="G66" s="230">
        <f>IF(ISBLANK(F66),"-",(F66/$D$50*$D$47*$B$68)*($B$57/$D$64))</f>
        <v>50.199356391414454</v>
      </c>
      <c r="H66" s="145">
        <f t="shared" si="0"/>
        <v>1.003987127828289</v>
      </c>
    </row>
    <row r="67" spans="1:8" ht="27" customHeight="1" thickBot="1" x14ac:dyDescent="0.45">
      <c r="A67" s="78" t="s">
        <v>101</v>
      </c>
      <c r="B67" s="79">
        <v>1</v>
      </c>
      <c r="C67" s="274"/>
      <c r="D67" s="277"/>
      <c r="E67" s="142">
        <v>4</v>
      </c>
      <c r="F67" s="143"/>
      <c r="G67" s="231"/>
      <c r="H67" s="146"/>
    </row>
    <row r="68" spans="1:8" ht="26.25" customHeight="1" x14ac:dyDescent="0.4">
      <c r="A68" s="78" t="s">
        <v>102</v>
      </c>
      <c r="B68" s="147">
        <f>(B67/B66)*(B65/B64)*(B63/B62)*(B61/B60)*B59</f>
        <v>39062.5</v>
      </c>
      <c r="C68" s="272" t="s">
        <v>103</v>
      </c>
      <c r="D68" s="275">
        <v>6289.21</v>
      </c>
      <c r="E68" s="136">
        <v>1</v>
      </c>
      <c r="F68" s="137">
        <v>4233467</v>
      </c>
      <c r="G68" s="229">
        <f>IF(ISBLANK(F68),"-",(F68/$D$50*$D$47*$B$68)*($B$57/$D$68))</f>
        <v>49.678378603785191</v>
      </c>
      <c r="H68" s="140">
        <f t="shared" si="0"/>
        <v>0.99356757207570379</v>
      </c>
    </row>
    <row r="69" spans="1:8" ht="27" customHeight="1" thickBot="1" x14ac:dyDescent="0.45">
      <c r="A69" s="126" t="s">
        <v>104</v>
      </c>
      <c r="B69" s="148">
        <f>(D47*B68)/B56*B57</f>
        <v>6129.3896484375</v>
      </c>
      <c r="C69" s="273"/>
      <c r="D69" s="276"/>
      <c r="E69" s="139">
        <v>2</v>
      </c>
      <c r="F69" s="91">
        <v>4240216</v>
      </c>
      <c r="G69" s="230">
        <f>IF(ISBLANK(F69),"-",(F69/$D$50*$D$47*$B$68)*($B$57/$D$68))</f>
        <v>49.757575956025555</v>
      </c>
      <c r="H69" s="140">
        <f t="shared" si="0"/>
        <v>0.99515151912051114</v>
      </c>
    </row>
    <row r="70" spans="1:8" ht="26.25" customHeight="1" x14ac:dyDescent="0.4">
      <c r="A70" s="285" t="s">
        <v>77</v>
      </c>
      <c r="B70" s="286"/>
      <c r="C70" s="273"/>
      <c r="D70" s="276"/>
      <c r="E70" s="139">
        <v>3</v>
      </c>
      <c r="F70" s="91">
        <v>4242212</v>
      </c>
      <c r="G70" s="230">
        <f>IF(ISBLANK(F70),"-",(F70/$D$50*$D$47*$B$68)*($B$57/$D$68))</f>
        <v>49.780998376394763</v>
      </c>
      <c r="H70" s="140">
        <f t="shared" si="0"/>
        <v>0.99561996752789528</v>
      </c>
    </row>
    <row r="71" spans="1:8" ht="27" customHeight="1" thickBot="1" x14ac:dyDescent="0.45">
      <c r="A71" s="287"/>
      <c r="B71" s="288"/>
      <c r="C71" s="284"/>
      <c r="D71" s="277"/>
      <c r="E71" s="142">
        <v>4</v>
      </c>
      <c r="F71" s="143"/>
      <c r="G71" s="231"/>
      <c r="H71" s="149"/>
    </row>
    <row r="72" spans="1:8" ht="26.25" customHeight="1" x14ac:dyDescent="0.4">
      <c r="A72" s="178"/>
      <c r="B72" s="178"/>
      <c r="C72" s="178"/>
      <c r="D72" s="178"/>
      <c r="E72" s="178"/>
      <c r="F72" s="178"/>
      <c r="G72" s="152" t="s">
        <v>70</v>
      </c>
      <c r="H72" s="153">
        <f>AVERAGE(H60:H71)</f>
        <v>0.99987062133421378</v>
      </c>
    </row>
    <row r="73" spans="1:8" ht="26.25" customHeight="1" x14ac:dyDescent="0.4">
      <c r="C73" s="178"/>
      <c r="D73" s="178"/>
      <c r="E73" s="178"/>
      <c r="F73" s="178"/>
      <c r="G73" s="154" t="s">
        <v>83</v>
      </c>
      <c r="H73" s="232">
        <f>STDEV(H60:H71)/H72</f>
        <v>5.6476645387694173E-3</v>
      </c>
    </row>
    <row r="74" spans="1:8" ht="27" customHeight="1" thickBot="1" x14ac:dyDescent="0.45">
      <c r="A74" s="178"/>
      <c r="B74" s="178"/>
      <c r="C74" s="178"/>
      <c r="D74" s="178"/>
      <c r="E74" s="155"/>
      <c r="F74" s="178"/>
      <c r="G74" s="156" t="s">
        <v>19</v>
      </c>
      <c r="H74" s="157">
        <f>COUNT(H60:H71)</f>
        <v>6</v>
      </c>
    </row>
    <row r="76" spans="1:8" ht="26.25" customHeight="1" x14ac:dyDescent="0.4">
      <c r="A76" s="218" t="s">
        <v>105</v>
      </c>
      <c r="B76" s="170" t="s">
        <v>106</v>
      </c>
      <c r="C76" s="280" t="str">
        <f>B20</f>
        <v xml:space="preserve">Lopinavir/ Ritonavir </v>
      </c>
      <c r="D76" s="280"/>
      <c r="E76" s="159" t="s">
        <v>107</v>
      </c>
      <c r="F76" s="159"/>
      <c r="G76" s="160">
        <f>H72</f>
        <v>0.99987062133421378</v>
      </c>
      <c r="H76" s="236"/>
    </row>
    <row r="77" spans="1:8" ht="18.75" x14ac:dyDescent="0.3">
      <c r="A77" s="61" t="s">
        <v>108</v>
      </c>
      <c r="B77" s="61" t="s">
        <v>109</v>
      </c>
      <c r="G77" s="181">
        <v>3</v>
      </c>
    </row>
    <row r="78" spans="1:8" ht="18.75" x14ac:dyDescent="0.3">
      <c r="A78" s="61"/>
      <c r="B78" s="61"/>
    </row>
    <row r="79" spans="1:8" ht="26.25" customHeight="1" x14ac:dyDescent="0.4">
      <c r="A79" s="218" t="s">
        <v>4</v>
      </c>
      <c r="B79" s="266" t="str">
        <f>B26</f>
        <v>Ritonavir</v>
      </c>
      <c r="C79" s="266"/>
    </row>
    <row r="80" spans="1:8" ht="26.25" customHeight="1" x14ac:dyDescent="0.4">
      <c r="A80" s="170" t="s">
        <v>47</v>
      </c>
      <c r="B80" s="266" t="str">
        <f>B27</f>
        <v>R9-1</v>
      </c>
      <c r="C80" s="266"/>
    </row>
    <row r="81" spans="1:12" ht="27" customHeight="1" thickBot="1" x14ac:dyDescent="0.45">
      <c r="A81" s="170" t="s">
        <v>6</v>
      </c>
      <c r="B81" s="162">
        <f>B28</f>
        <v>99.3</v>
      </c>
    </row>
    <row r="82" spans="1:12" s="4" customFormat="1" ht="27" customHeight="1" thickBot="1" x14ac:dyDescent="0.45">
      <c r="A82" s="170" t="s">
        <v>48</v>
      </c>
      <c r="B82" s="65">
        <v>0</v>
      </c>
      <c r="C82" s="257" t="s">
        <v>49</v>
      </c>
      <c r="D82" s="258"/>
      <c r="E82" s="258"/>
      <c r="F82" s="258"/>
      <c r="G82" s="259"/>
      <c r="I82" s="66"/>
      <c r="J82" s="66"/>
      <c r="K82" s="66"/>
      <c r="L82" s="66"/>
    </row>
    <row r="83" spans="1:12" s="4" customFormat="1" ht="19.5" customHeight="1" thickBot="1" x14ac:dyDescent="0.35">
      <c r="A83" s="170" t="s">
        <v>50</v>
      </c>
      <c r="B83" s="236">
        <f>B81-B82</f>
        <v>99.3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" customFormat="1" ht="27" customHeight="1" thickBot="1" x14ac:dyDescent="0.45">
      <c r="A84" s="170" t="s">
        <v>51</v>
      </c>
      <c r="B84" s="70">
        <v>154.46</v>
      </c>
      <c r="C84" s="260" t="s">
        <v>110</v>
      </c>
      <c r="D84" s="261"/>
      <c r="E84" s="261"/>
      <c r="F84" s="261"/>
      <c r="G84" s="261"/>
      <c r="H84" s="262"/>
      <c r="I84" s="66"/>
      <c r="J84" s="66"/>
      <c r="K84" s="66"/>
      <c r="L84" s="66"/>
    </row>
    <row r="85" spans="1:12" s="4" customFormat="1" ht="27" customHeight="1" thickBot="1" x14ac:dyDescent="0.45">
      <c r="A85" s="170" t="s">
        <v>53</v>
      </c>
      <c r="B85" s="70">
        <v>165.23</v>
      </c>
      <c r="C85" s="260" t="s">
        <v>111</v>
      </c>
      <c r="D85" s="261"/>
      <c r="E85" s="261"/>
      <c r="F85" s="261"/>
      <c r="G85" s="261"/>
      <c r="H85" s="262"/>
      <c r="I85" s="66"/>
      <c r="J85" s="66"/>
      <c r="K85" s="66"/>
      <c r="L85" s="66"/>
    </row>
    <row r="86" spans="1:12" s="4" customFormat="1" ht="18.75" x14ac:dyDescent="0.3">
      <c r="A86" s="170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" customFormat="1" ht="18.75" x14ac:dyDescent="0.3">
      <c r="A87" s="170" t="s">
        <v>55</v>
      </c>
      <c r="B87" s="75">
        <f>B84/B85</f>
        <v>0.93481813230042976</v>
      </c>
      <c r="C87" s="159" t="s">
        <v>56</v>
      </c>
      <c r="D87" s="159"/>
      <c r="E87" s="159"/>
      <c r="F87" s="159"/>
      <c r="G87" s="159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57</v>
      </c>
      <c r="B89" s="77">
        <v>25</v>
      </c>
      <c r="D89" s="238" t="s">
        <v>58</v>
      </c>
      <c r="E89" s="240"/>
      <c r="F89" s="263" t="s">
        <v>59</v>
      </c>
      <c r="G89" s="265"/>
    </row>
    <row r="90" spans="1:12" ht="27" customHeight="1" thickBot="1" x14ac:dyDescent="0.45">
      <c r="A90" s="78" t="s">
        <v>60</v>
      </c>
      <c r="B90" s="79">
        <v>4</v>
      </c>
      <c r="C90" s="237" t="s">
        <v>61</v>
      </c>
      <c r="D90" s="81" t="s">
        <v>62</v>
      </c>
      <c r="E90" s="82" t="s">
        <v>63</v>
      </c>
      <c r="F90" s="81" t="s">
        <v>62</v>
      </c>
      <c r="G90" s="166" t="s">
        <v>63</v>
      </c>
      <c r="I90" s="84" t="s">
        <v>64</v>
      </c>
    </row>
    <row r="91" spans="1:12" ht="26.25" customHeight="1" x14ac:dyDescent="0.4">
      <c r="A91" s="78" t="s">
        <v>65</v>
      </c>
      <c r="B91" s="79">
        <v>200</v>
      </c>
      <c r="C91" s="167">
        <v>1</v>
      </c>
      <c r="D91" s="86">
        <v>52522362</v>
      </c>
      <c r="E91" s="87">
        <f>IF(ISBLANK(D91),"-",$D$101/$D$98*D91)</f>
        <v>15641764.587360833</v>
      </c>
      <c r="F91" s="86">
        <v>53289728</v>
      </c>
      <c r="G91" s="88">
        <f>IF(ISBLANK(F91),"-",$D$101/$F$98*F91)</f>
        <v>15463995.772086633</v>
      </c>
      <c r="I91" s="89"/>
    </row>
    <row r="92" spans="1:12" ht="26.25" customHeight="1" x14ac:dyDescent="0.4">
      <c r="A92" s="78" t="s">
        <v>66</v>
      </c>
      <c r="B92" s="79">
        <v>1</v>
      </c>
      <c r="C92" s="178">
        <v>2</v>
      </c>
      <c r="D92" s="91">
        <v>52553125</v>
      </c>
      <c r="E92" s="92">
        <f>IF(ISBLANK(D92),"-",$D$101/$D$98*D92)</f>
        <v>15650926.163224481</v>
      </c>
      <c r="F92" s="91">
        <v>53121237</v>
      </c>
      <c r="G92" s="93">
        <f>IF(ISBLANK(F92),"-",$D$101/$F$98*F92)</f>
        <v>15415101.84431814</v>
      </c>
      <c r="I92" s="267">
        <f>ABS((F96/D96*D95)-F95)/D95</f>
        <v>9.1663928758481394E-3</v>
      </c>
    </row>
    <row r="93" spans="1:12" ht="26.25" customHeight="1" x14ac:dyDescent="0.4">
      <c r="A93" s="78" t="s">
        <v>67</v>
      </c>
      <c r="B93" s="79">
        <v>1</v>
      </c>
      <c r="C93" s="178">
        <v>3</v>
      </c>
      <c r="D93" s="91">
        <v>52565096</v>
      </c>
      <c r="E93" s="92">
        <f>IF(ISBLANK(D93),"-",$D$101/$D$98*D93)</f>
        <v>15654491.264959153</v>
      </c>
      <c r="F93" s="91">
        <v>54057613</v>
      </c>
      <c r="G93" s="93">
        <f>IF(ISBLANK(F93),"-",$D$101/$F$98*F93)</f>
        <v>15686826.1530833</v>
      </c>
      <c r="I93" s="267"/>
    </row>
    <row r="94" spans="1:12" ht="27" customHeight="1" thickBot="1" x14ac:dyDescent="0.45">
      <c r="A94" s="78" t="s">
        <v>68</v>
      </c>
      <c r="B94" s="79">
        <v>1</v>
      </c>
      <c r="C94" s="168">
        <v>4</v>
      </c>
      <c r="D94" s="96">
        <v>52522362</v>
      </c>
      <c r="E94" s="97">
        <f>IF(ISBLANK(D94),"-",$D$101/$D$98*D94)</f>
        <v>15641764.587360833</v>
      </c>
      <c r="F94" s="169">
        <v>53289728</v>
      </c>
      <c r="G94" s="98">
        <f>IF(ISBLANK(F94),"-",$D$101/$F$98*F94)</f>
        <v>15463995.772086633</v>
      </c>
      <c r="I94" s="99"/>
    </row>
    <row r="95" spans="1:12" ht="27" customHeight="1" thickBot="1" x14ac:dyDescent="0.45">
      <c r="A95" s="78" t="s">
        <v>69</v>
      </c>
      <c r="B95" s="79">
        <v>1</v>
      </c>
      <c r="C95" s="170" t="s">
        <v>70</v>
      </c>
      <c r="D95" s="171">
        <f>AVERAGE(D91:D94)</f>
        <v>52540736.25</v>
      </c>
      <c r="E95" s="102">
        <f>AVERAGE(E91:E94)</f>
        <v>15647236.650726326</v>
      </c>
      <c r="F95" s="172">
        <f>AVERAGE(F91:F94)</f>
        <v>53439576.5</v>
      </c>
      <c r="G95" s="173">
        <f>AVERAGE(G91:G94)</f>
        <v>15507479.885393677</v>
      </c>
    </row>
    <row r="96" spans="1:12" ht="26.25" customHeight="1" x14ac:dyDescent="0.4">
      <c r="A96" s="78" t="s">
        <v>71</v>
      </c>
      <c r="B96" s="162">
        <v>1</v>
      </c>
      <c r="C96" s="174" t="s">
        <v>112</v>
      </c>
      <c r="D96" s="175">
        <v>25.12</v>
      </c>
      <c r="E96" s="159"/>
      <c r="F96" s="106">
        <v>25.78</v>
      </c>
    </row>
    <row r="97" spans="1:10" ht="26.25" customHeight="1" x14ac:dyDescent="0.4">
      <c r="A97" s="78" t="s">
        <v>73</v>
      </c>
      <c r="B97" s="162">
        <v>1</v>
      </c>
      <c r="C97" s="176" t="s">
        <v>113</v>
      </c>
      <c r="D97" s="177">
        <f>D96*$B$87</f>
        <v>23.482631483386797</v>
      </c>
      <c r="E97" s="178"/>
      <c r="F97" s="108">
        <f>F96*$B$87</f>
        <v>24.09961145070508</v>
      </c>
    </row>
    <row r="98" spans="1:10" ht="19.5" customHeight="1" thickBot="1" x14ac:dyDescent="0.35">
      <c r="A98" s="78" t="s">
        <v>75</v>
      </c>
      <c r="B98" s="178">
        <f>(B97/B96)*(B95/B94)*(B93/B92)*(B91/B90)*B89</f>
        <v>1250</v>
      </c>
      <c r="C98" s="176" t="s">
        <v>114</v>
      </c>
      <c r="D98" s="179">
        <f>D97*$B$83/100</f>
        <v>23.318253063003091</v>
      </c>
      <c r="E98" s="155"/>
      <c r="F98" s="111">
        <f>F97*$B$83/100</f>
        <v>23.930914170550146</v>
      </c>
    </row>
    <row r="99" spans="1:10" ht="19.5" customHeight="1" thickBot="1" x14ac:dyDescent="0.35">
      <c r="A99" s="268" t="s">
        <v>77</v>
      </c>
      <c r="B99" s="282"/>
      <c r="C99" s="176" t="s">
        <v>115</v>
      </c>
      <c r="D99" s="180">
        <f>D98/$B$98</f>
        <v>1.8654602450402472E-2</v>
      </c>
      <c r="E99" s="155"/>
      <c r="F99" s="115">
        <f>F98/$B$98</f>
        <v>1.9144731336440117E-2</v>
      </c>
      <c r="H99" s="104"/>
    </row>
    <row r="100" spans="1:10" ht="19.5" customHeight="1" thickBot="1" x14ac:dyDescent="0.35">
      <c r="A100" s="270"/>
      <c r="B100" s="283"/>
      <c r="C100" s="176" t="s">
        <v>79</v>
      </c>
      <c r="D100" s="182">
        <f>$B$56/$B$116</f>
        <v>5.5555555555555558E-3</v>
      </c>
      <c r="F100" s="120"/>
      <c r="G100" s="189"/>
      <c r="H100" s="104"/>
    </row>
    <row r="101" spans="1:10" ht="18.75" x14ac:dyDescent="0.3">
      <c r="C101" s="176" t="s">
        <v>80</v>
      </c>
      <c r="D101" s="177">
        <f>D100*$B$98</f>
        <v>6.9444444444444446</v>
      </c>
      <c r="F101" s="120"/>
      <c r="H101" s="104"/>
    </row>
    <row r="102" spans="1:10" ht="19.5" customHeight="1" thickBot="1" x14ac:dyDescent="0.35">
      <c r="C102" s="184" t="s">
        <v>81</v>
      </c>
      <c r="D102" s="185">
        <f>D101/B34</f>
        <v>6.9444444444444446</v>
      </c>
      <c r="F102" s="124"/>
      <c r="H102" s="104"/>
      <c r="J102" s="186"/>
    </row>
    <row r="103" spans="1:10" ht="18.75" x14ac:dyDescent="0.3">
      <c r="C103" s="187" t="s">
        <v>116</v>
      </c>
      <c r="D103" s="188">
        <f>AVERAGE(E91:E94,G91:G94)</f>
        <v>15577358.268060001</v>
      </c>
      <c r="F103" s="124"/>
      <c r="G103" s="189"/>
      <c r="H103" s="104"/>
      <c r="J103" s="190"/>
    </row>
    <row r="104" spans="1:10" ht="18.75" x14ac:dyDescent="0.3">
      <c r="C104" s="154" t="s">
        <v>83</v>
      </c>
      <c r="D104" s="191">
        <f>STDEV(E91:E94,G91:G94)/D103</f>
        <v>7.0184870796217982E-3</v>
      </c>
      <c r="F104" s="124"/>
      <c r="H104" s="104"/>
      <c r="J104" s="190"/>
    </row>
    <row r="105" spans="1:10" ht="19.5" customHeight="1" thickBot="1" x14ac:dyDescent="0.35">
      <c r="C105" s="156" t="s">
        <v>19</v>
      </c>
      <c r="D105" s="192">
        <f>COUNT(E91:E94,G91:G94)</f>
        <v>8</v>
      </c>
      <c r="F105" s="124"/>
      <c r="H105" s="104"/>
      <c r="J105" s="190"/>
    </row>
    <row r="106" spans="1:10" ht="19.5" customHeight="1" thickBot="1" x14ac:dyDescent="0.35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117</v>
      </c>
      <c r="B107" s="77">
        <v>900</v>
      </c>
      <c r="C107" s="238" t="s">
        <v>118</v>
      </c>
      <c r="D107" s="194" t="s">
        <v>62</v>
      </c>
      <c r="E107" s="195" t="s">
        <v>119</v>
      </c>
      <c r="F107" s="196" t="s">
        <v>120</v>
      </c>
    </row>
    <row r="108" spans="1:10" ht="26.25" customHeight="1" x14ac:dyDescent="0.4">
      <c r="A108" s="78" t="s">
        <v>121</v>
      </c>
      <c r="B108" s="79">
        <v>5</v>
      </c>
      <c r="C108" s="197">
        <v>1</v>
      </c>
      <c r="D108" s="198">
        <v>87619284</v>
      </c>
      <c r="E108" s="233">
        <f t="shared" ref="E108:E113" si="1">IF(ISBLANK(D108),"-",D108/$D$103*$D$100*$B$116)</f>
        <v>281.23922712766904</v>
      </c>
      <c r="F108" s="199">
        <f t="shared" ref="F108:F113" si="2">IF(ISBLANK(D108), "-", E108/$B$56)</f>
        <v>5.6247845425533809</v>
      </c>
    </row>
    <row r="109" spans="1:10" ht="26.25" customHeight="1" x14ac:dyDescent="0.4">
      <c r="A109" s="78" t="s">
        <v>94</v>
      </c>
      <c r="B109" s="79">
        <v>50</v>
      </c>
      <c r="C109" s="197">
        <v>2</v>
      </c>
      <c r="D109" s="198">
        <v>87231228</v>
      </c>
      <c r="E109" s="234">
        <f t="shared" si="1"/>
        <v>279.99365007499364</v>
      </c>
      <c r="F109" s="200">
        <f t="shared" si="2"/>
        <v>5.5998730014998728</v>
      </c>
    </row>
    <row r="110" spans="1:10" ht="26.25" customHeight="1" x14ac:dyDescent="0.4">
      <c r="A110" s="78" t="s">
        <v>95</v>
      </c>
      <c r="B110" s="79">
        <v>1</v>
      </c>
      <c r="C110" s="197">
        <v>3</v>
      </c>
      <c r="D110" s="198">
        <v>87224653</v>
      </c>
      <c r="E110" s="234">
        <f t="shared" si="1"/>
        <v>279.97254572633943</v>
      </c>
      <c r="F110" s="200">
        <f t="shared" si="2"/>
        <v>5.5994509145267886</v>
      </c>
    </row>
    <row r="111" spans="1:10" ht="26.25" customHeight="1" x14ac:dyDescent="0.4">
      <c r="A111" s="78" t="s">
        <v>96</v>
      </c>
      <c r="B111" s="79">
        <v>1</v>
      </c>
      <c r="C111" s="197">
        <v>4</v>
      </c>
      <c r="D111" s="198">
        <v>86491264</v>
      </c>
      <c r="E111" s="234">
        <f t="shared" si="1"/>
        <v>277.61852334533103</v>
      </c>
      <c r="F111" s="200">
        <f t="shared" si="2"/>
        <v>5.5523704669066207</v>
      </c>
    </row>
    <row r="112" spans="1:10" ht="26.25" customHeight="1" x14ac:dyDescent="0.4">
      <c r="A112" s="78" t="s">
        <v>97</v>
      </c>
      <c r="B112" s="79">
        <v>1</v>
      </c>
      <c r="C112" s="197">
        <v>5</v>
      </c>
      <c r="D112" s="198">
        <v>88080316</v>
      </c>
      <c r="E112" s="234">
        <f t="shared" si="1"/>
        <v>282.71904158679115</v>
      </c>
      <c r="F112" s="200">
        <f t="shared" si="2"/>
        <v>5.6543808317358231</v>
      </c>
    </row>
    <row r="113" spans="1:10" ht="26.25" customHeight="1" x14ac:dyDescent="0.4">
      <c r="A113" s="78" t="s">
        <v>99</v>
      </c>
      <c r="B113" s="79">
        <v>1</v>
      </c>
      <c r="C113" s="201">
        <v>6</v>
      </c>
      <c r="D113" s="202">
        <v>87568449</v>
      </c>
      <c r="E113" s="235">
        <f t="shared" si="1"/>
        <v>281.07605761225699</v>
      </c>
      <c r="F113" s="203">
        <f t="shared" si="2"/>
        <v>5.6215211522451396</v>
      </c>
    </row>
    <row r="114" spans="1:10" ht="26.25" customHeight="1" x14ac:dyDescent="0.4">
      <c r="A114" s="78" t="s">
        <v>100</v>
      </c>
      <c r="B114" s="79">
        <v>1</v>
      </c>
      <c r="C114" s="197"/>
      <c r="D114" s="178"/>
      <c r="E114" s="159"/>
      <c r="F114" s="204"/>
    </row>
    <row r="115" spans="1:10" ht="26.25" customHeight="1" x14ac:dyDescent="0.4">
      <c r="A115" s="78" t="s">
        <v>101</v>
      </c>
      <c r="B115" s="79">
        <v>1</v>
      </c>
      <c r="C115" s="197"/>
      <c r="D115" s="205"/>
      <c r="E115" s="206" t="s">
        <v>70</v>
      </c>
      <c r="F115" s="207">
        <f>AVERAGE(F108:F113)</f>
        <v>5.6087301515779373</v>
      </c>
    </row>
    <row r="116" spans="1:10" ht="27" customHeight="1" thickBot="1" x14ac:dyDescent="0.45">
      <c r="A116" s="78" t="s">
        <v>102</v>
      </c>
      <c r="B116" s="110">
        <f>(B115/B114)*(B113/B112)*(B111/B110)*(B109/B108)*B107</f>
        <v>9000</v>
      </c>
      <c r="C116" s="208"/>
      <c r="D116" s="209"/>
      <c r="E116" s="170" t="s">
        <v>83</v>
      </c>
      <c r="F116" s="210">
        <f>STDEV(F108:F113)/F115</f>
        <v>6.0966490078911903E-3</v>
      </c>
      <c r="I116" s="159"/>
    </row>
    <row r="117" spans="1:10" ht="27" customHeight="1" thickBot="1" x14ac:dyDescent="0.45">
      <c r="A117" s="268" t="s">
        <v>77</v>
      </c>
      <c r="B117" s="269"/>
      <c r="C117" s="211"/>
      <c r="D117" s="212"/>
      <c r="E117" s="213" t="s">
        <v>19</v>
      </c>
      <c r="F117" s="214">
        <f>COUNT(F108:F113)</f>
        <v>6</v>
      </c>
      <c r="I117" s="159"/>
      <c r="J117" s="190"/>
    </row>
    <row r="118" spans="1:10" ht="19.5" customHeight="1" thickBot="1" x14ac:dyDescent="0.35">
      <c r="A118" s="270"/>
      <c r="B118" s="271"/>
      <c r="C118" s="159"/>
      <c r="D118" s="159"/>
      <c r="E118" s="159"/>
      <c r="F118" s="178"/>
      <c r="G118" s="159"/>
      <c r="H118" s="159"/>
      <c r="I118" s="159"/>
    </row>
    <row r="119" spans="1:10" ht="18.75" x14ac:dyDescent="0.3">
      <c r="A119" s="223"/>
      <c r="B119" s="74"/>
      <c r="C119" s="159"/>
      <c r="D119" s="159"/>
      <c r="E119" s="159"/>
      <c r="F119" s="178"/>
      <c r="G119" s="159"/>
      <c r="H119" s="159"/>
      <c r="I119" s="159"/>
    </row>
    <row r="120" spans="1:10" ht="26.25" customHeight="1" x14ac:dyDescent="0.4">
      <c r="A120" s="218" t="s">
        <v>105</v>
      </c>
      <c r="B120" s="170" t="s">
        <v>122</v>
      </c>
      <c r="C120" s="280" t="str">
        <f>B20</f>
        <v xml:space="preserve">Lopinavir/ Ritonavir </v>
      </c>
      <c r="D120" s="280"/>
      <c r="E120" s="159" t="s">
        <v>123</v>
      </c>
      <c r="F120" s="159"/>
      <c r="G120" s="160">
        <f>F115</f>
        <v>5.6087301515779373</v>
      </c>
      <c r="H120" s="159"/>
      <c r="I120" s="159"/>
    </row>
    <row r="121" spans="1:10" ht="19.5" customHeight="1" thickBot="1" x14ac:dyDescent="0.35">
      <c r="A121" s="239"/>
      <c r="B121" s="239"/>
      <c r="C121" s="216"/>
      <c r="D121" s="216"/>
      <c r="E121" s="216"/>
      <c r="F121" s="216"/>
      <c r="G121" s="216"/>
      <c r="H121" s="216"/>
    </row>
    <row r="122" spans="1:10" ht="18.75" x14ac:dyDescent="0.3">
      <c r="B122" s="281" t="s">
        <v>25</v>
      </c>
      <c r="C122" s="281"/>
      <c r="E122" s="237" t="s">
        <v>26</v>
      </c>
      <c r="F122" s="217"/>
      <c r="G122" s="281" t="s">
        <v>27</v>
      </c>
      <c r="H122" s="281"/>
    </row>
    <row r="123" spans="1:10" ht="69.95" customHeight="1" x14ac:dyDescent="0.3">
      <c r="A123" s="218" t="s">
        <v>28</v>
      </c>
      <c r="B123" s="220"/>
      <c r="C123" s="220"/>
      <c r="E123" s="220"/>
      <c r="F123" s="159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159"/>
      <c r="G124" s="222"/>
      <c r="H124" s="222"/>
    </row>
    <row r="125" spans="1:10" ht="18.75" x14ac:dyDescent="0.3">
      <c r="A125" s="178"/>
      <c r="B125" s="178"/>
      <c r="C125" s="178"/>
      <c r="D125" s="178"/>
      <c r="E125" s="178"/>
      <c r="F125" s="155"/>
      <c r="G125" s="178"/>
      <c r="H125" s="178"/>
      <c r="I125" s="159"/>
    </row>
    <row r="126" spans="1:10" ht="18.75" x14ac:dyDescent="0.3">
      <c r="A126" s="178"/>
      <c r="B126" s="178"/>
      <c r="C126" s="178"/>
      <c r="D126" s="178"/>
      <c r="E126" s="178"/>
      <c r="F126" s="155"/>
      <c r="G126" s="178"/>
      <c r="H126" s="178"/>
      <c r="I126" s="159"/>
    </row>
    <row r="127" spans="1:10" ht="18.75" x14ac:dyDescent="0.3">
      <c r="A127" s="178"/>
      <c r="B127" s="178"/>
      <c r="C127" s="178"/>
      <c r="D127" s="178"/>
      <c r="E127" s="178"/>
      <c r="F127" s="155"/>
      <c r="G127" s="178"/>
      <c r="H127" s="178"/>
      <c r="I127" s="159"/>
    </row>
    <row r="128" spans="1:10" ht="18.75" x14ac:dyDescent="0.3">
      <c r="A128" s="178"/>
      <c r="B128" s="178"/>
      <c r="C128" s="178"/>
      <c r="D128" s="178"/>
      <c r="E128" s="178"/>
      <c r="F128" s="155"/>
      <c r="G128" s="178"/>
      <c r="H128" s="178"/>
      <c r="I128" s="159"/>
    </row>
    <row r="129" spans="1:9" ht="18.75" x14ac:dyDescent="0.3">
      <c r="A129" s="178"/>
      <c r="B129" s="178"/>
      <c r="C129" s="178"/>
      <c r="D129" s="178"/>
      <c r="E129" s="178"/>
      <c r="F129" s="155"/>
      <c r="G129" s="178"/>
      <c r="H129" s="178"/>
      <c r="I129" s="159"/>
    </row>
    <row r="130" spans="1:9" ht="18.75" x14ac:dyDescent="0.3">
      <c r="A130" s="178"/>
      <c r="B130" s="178"/>
      <c r="C130" s="178"/>
      <c r="D130" s="178"/>
      <c r="E130" s="178"/>
      <c r="F130" s="155"/>
      <c r="G130" s="178"/>
      <c r="H130" s="178"/>
      <c r="I130" s="159"/>
    </row>
    <row r="131" spans="1:9" ht="18.75" x14ac:dyDescent="0.3">
      <c r="A131" s="178"/>
      <c r="B131" s="178"/>
      <c r="C131" s="178"/>
      <c r="D131" s="178"/>
      <c r="E131" s="178"/>
      <c r="F131" s="155"/>
      <c r="G131" s="178"/>
      <c r="H131" s="178"/>
      <c r="I131" s="159"/>
    </row>
    <row r="132" spans="1:9" ht="18.75" x14ac:dyDescent="0.3">
      <c r="A132" s="178"/>
      <c r="B132" s="178"/>
      <c r="C132" s="178"/>
      <c r="D132" s="178"/>
      <c r="E132" s="178"/>
      <c r="F132" s="155"/>
      <c r="G132" s="178"/>
      <c r="H132" s="178"/>
      <c r="I132" s="159"/>
    </row>
    <row r="133" spans="1:9" ht="18.75" x14ac:dyDescent="0.3">
      <c r="A133" s="178"/>
      <c r="B133" s="178"/>
      <c r="C133" s="178"/>
      <c r="D133" s="178"/>
      <c r="E133" s="178"/>
      <c r="F133" s="155"/>
      <c r="G133" s="178"/>
      <c r="H133" s="178"/>
      <c r="I133" s="159"/>
    </row>
    <row r="250" spans="1:1" x14ac:dyDescent="0.25">
      <c r="A250" s="18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Ritonavir</vt:lpstr>
      <vt:lpstr>SST Lopinavir</vt:lpstr>
      <vt:lpstr>Uniformity</vt:lpstr>
      <vt:lpstr>Lopinavir</vt:lpstr>
      <vt:lpstr>Ritonavir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cp:lastPrinted>2015-09-29T09:00:49Z</cp:lastPrinted>
  <dcterms:created xsi:type="dcterms:W3CDTF">2005-07-05T10:19:27Z</dcterms:created>
  <dcterms:modified xsi:type="dcterms:W3CDTF">2015-09-29T09:02:22Z</dcterms:modified>
  <cp:category/>
</cp:coreProperties>
</file>