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(Nevirapine)" sheetId="7" r:id="rId1"/>
    <sheet name="SST(zidovudine)" sheetId="8" r:id="rId2"/>
    <sheet name="SST(lamivudine)" sheetId="9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98" i="5" l="1"/>
  <c r="F115" i="5"/>
  <c r="G95" i="5"/>
  <c r="E95" i="5"/>
  <c r="B87" i="5"/>
  <c r="E95" i="4"/>
  <c r="G95" i="4"/>
  <c r="B116" i="4"/>
  <c r="F115" i="4"/>
  <c r="B87" i="4"/>
  <c r="B98" i="4"/>
  <c r="G39" i="4"/>
  <c r="G38" i="4"/>
  <c r="E42" i="4"/>
  <c r="G120" i="3"/>
  <c r="F115" i="3"/>
  <c r="G95" i="3"/>
  <c r="E95" i="3"/>
  <c r="B98" i="3"/>
  <c r="B87" i="3"/>
  <c r="H72" i="3"/>
  <c r="G42" i="3"/>
  <c r="E42" i="3"/>
  <c r="H72" i="5" l="1"/>
  <c r="G76" i="5"/>
  <c r="B69" i="4"/>
  <c r="B69" i="3"/>
  <c r="B34" i="5"/>
  <c r="B45" i="5"/>
  <c r="C120" i="5" l="1"/>
  <c r="B116" i="5"/>
  <c r="D100" i="5" s="1"/>
  <c r="D101" i="5" s="1"/>
  <c r="F95" i="5"/>
  <c r="I92" i="5" s="1"/>
  <c r="D95" i="5"/>
  <c r="F97" i="5"/>
  <c r="B81" i="5"/>
  <c r="B83" i="5" s="1"/>
  <c r="B80" i="5"/>
  <c r="B79" i="5"/>
  <c r="C76" i="5"/>
  <c r="B68" i="5"/>
  <c r="C56" i="5"/>
  <c r="B55" i="5"/>
  <c r="D48" i="5"/>
  <c r="F42" i="5"/>
  <c r="D42" i="5"/>
  <c r="F44" i="5"/>
  <c r="B30" i="5"/>
  <c r="C120" i="4"/>
  <c r="D100" i="4"/>
  <c r="D101" i="4" s="1"/>
  <c r="F97" i="4"/>
  <c r="F95" i="4"/>
  <c r="D95" i="4"/>
  <c r="I92" i="4" s="1"/>
  <c r="D9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F95" i="3"/>
  <c r="D95" i="3"/>
  <c r="I92" i="3" s="1"/>
  <c r="F97" i="3"/>
  <c r="B81" i="3"/>
  <c r="B83" i="3" s="1"/>
  <c r="B80" i="3"/>
  <c r="B79" i="3"/>
  <c r="C76" i="3"/>
  <c r="B68" i="3"/>
  <c r="C56" i="3"/>
  <c r="B55" i="3"/>
  <c r="B45" i="3"/>
  <c r="D48" i="3" s="1"/>
  <c r="F42" i="3"/>
  <c r="I39" i="3" s="1"/>
  <c r="D42" i="3"/>
  <c r="B34" i="3"/>
  <c r="F44" i="3" s="1"/>
  <c r="B30" i="3"/>
  <c r="C46" i="2"/>
  <c r="B57" i="5" s="1"/>
  <c r="C45" i="2"/>
  <c r="D37" i="2"/>
  <c r="D33" i="2"/>
  <c r="D29" i="2"/>
  <c r="D25" i="2"/>
  <c r="C19" i="2"/>
  <c r="D101" i="3" l="1"/>
  <c r="D102" i="3" s="1"/>
  <c r="I39" i="5"/>
  <c r="F45" i="5"/>
  <c r="G38" i="5" s="1"/>
  <c r="F98" i="5"/>
  <c r="F99" i="5" s="1"/>
  <c r="I39" i="4"/>
  <c r="F44" i="4"/>
  <c r="F45" i="4" s="1"/>
  <c r="D98" i="4"/>
  <c r="D99" i="4" s="1"/>
  <c r="D45" i="4"/>
  <c r="D46" i="4" s="1"/>
  <c r="F98" i="4"/>
  <c r="F99" i="4" s="1"/>
  <c r="F45" i="3"/>
  <c r="F46" i="3" s="1"/>
  <c r="F98" i="3"/>
  <c r="F99" i="3" s="1"/>
  <c r="D49" i="4"/>
  <c r="G41" i="4"/>
  <c r="E38" i="4"/>
  <c r="E41" i="4"/>
  <c r="G92" i="5"/>
  <c r="D102" i="5"/>
  <c r="G94" i="5"/>
  <c r="G91" i="4"/>
  <c r="G94" i="4"/>
  <c r="G92" i="4"/>
  <c r="D102" i="4"/>
  <c r="G41" i="3"/>
  <c r="F46" i="5"/>
  <c r="G41" i="5"/>
  <c r="B69" i="5"/>
  <c r="D26" i="2"/>
  <c r="D30" i="2"/>
  <c r="D34" i="2"/>
  <c r="D38" i="2"/>
  <c r="D42" i="2"/>
  <c r="B49" i="2"/>
  <c r="D50" i="2"/>
  <c r="D44" i="3"/>
  <c r="D45" i="3" s="1"/>
  <c r="E39" i="3" s="1"/>
  <c r="D49" i="3"/>
  <c r="D97" i="3"/>
  <c r="D98" i="3" s="1"/>
  <c r="D99" i="3" s="1"/>
  <c r="B57" i="4"/>
  <c r="D44" i="5"/>
  <c r="D45" i="5" s="1"/>
  <c r="E38" i="5" s="1"/>
  <c r="D49" i="5"/>
  <c r="D97" i="5"/>
  <c r="D98" i="5" s="1"/>
  <c r="D99" i="5" s="1"/>
  <c r="D27" i="2"/>
  <c r="D31" i="2"/>
  <c r="D35" i="2"/>
  <c r="D39" i="2"/>
  <c r="D43" i="2"/>
  <c r="C49" i="2"/>
  <c r="D41" i="2"/>
  <c r="C50" i="2"/>
  <c r="D24" i="2"/>
  <c r="D28" i="2"/>
  <c r="D32" i="2"/>
  <c r="D36" i="2"/>
  <c r="D40" i="2"/>
  <c r="D49" i="2"/>
  <c r="B57" i="3"/>
  <c r="G39" i="5"/>
  <c r="F46" i="4" l="1"/>
  <c r="G91" i="3"/>
  <c r="G42" i="5"/>
  <c r="G40" i="5"/>
  <c r="G93" i="5"/>
  <c r="G91" i="5"/>
  <c r="E93" i="5"/>
  <c r="E39" i="4"/>
  <c r="E40" i="4"/>
  <c r="E92" i="4"/>
  <c r="E94" i="4"/>
  <c r="E93" i="4"/>
  <c r="G40" i="4"/>
  <c r="G93" i="4"/>
  <c r="E91" i="4"/>
  <c r="G39" i="3"/>
  <c r="G93" i="3"/>
  <c r="G40" i="3"/>
  <c r="G38" i="3"/>
  <c r="G94" i="3"/>
  <c r="G92" i="3"/>
  <c r="D46" i="5"/>
  <c r="E39" i="5"/>
  <c r="E40" i="5"/>
  <c r="E91" i="5"/>
  <c r="E92" i="5"/>
  <c r="E94" i="5"/>
  <c r="E41" i="5"/>
  <c r="D46" i="3"/>
  <c r="E38" i="3"/>
  <c r="E41" i="3"/>
  <c r="E93" i="3"/>
  <c r="E40" i="3"/>
  <c r="E91" i="3"/>
  <c r="E92" i="3"/>
  <c r="E94" i="3"/>
  <c r="D105" i="4" l="1"/>
  <c r="D103" i="4"/>
  <c r="E111" i="4" s="1"/>
  <c r="F111" i="4" s="1"/>
  <c r="E42" i="5"/>
  <c r="G42" i="4"/>
  <c r="D52" i="4"/>
  <c r="D50" i="4"/>
  <c r="G69" i="4" s="1"/>
  <c r="H69" i="4" s="1"/>
  <c r="D103" i="5"/>
  <c r="D105" i="5"/>
  <c r="D103" i="3"/>
  <c r="D105" i="3"/>
  <c r="D50" i="5"/>
  <c r="D52" i="5"/>
  <c r="D50" i="3"/>
  <c r="D52" i="3"/>
  <c r="D104" i="4" l="1"/>
  <c r="E112" i="4"/>
  <c r="F112" i="4" s="1"/>
  <c r="E109" i="4"/>
  <c r="F109" i="4" s="1"/>
  <c r="E108" i="4"/>
  <c r="F108" i="4" s="1"/>
  <c r="E113" i="4"/>
  <c r="F113" i="4" s="1"/>
  <c r="E110" i="4"/>
  <c r="F110" i="4" s="1"/>
  <c r="G67" i="4"/>
  <c r="H67" i="4" s="1"/>
  <c r="G71" i="4"/>
  <c r="H71" i="4" s="1"/>
  <c r="G70" i="4"/>
  <c r="H70" i="4" s="1"/>
  <c r="G68" i="4"/>
  <c r="H68" i="4" s="1"/>
  <c r="G62" i="4"/>
  <c r="H62" i="4" s="1"/>
  <c r="G61" i="4"/>
  <c r="H61" i="4" s="1"/>
  <c r="G64" i="4"/>
  <c r="H64" i="4" s="1"/>
  <c r="G63" i="4"/>
  <c r="H63" i="4" s="1"/>
  <c r="D51" i="4"/>
  <c r="G66" i="4"/>
  <c r="H66" i="4" s="1"/>
  <c r="G65" i="4"/>
  <c r="H65" i="4" s="1"/>
  <c r="G60" i="4"/>
  <c r="H60" i="4" s="1"/>
  <c r="E112" i="3"/>
  <c r="F112" i="3" s="1"/>
  <c r="E110" i="3"/>
  <c r="F110" i="3" s="1"/>
  <c r="E108" i="3"/>
  <c r="F108" i="3" s="1"/>
  <c r="E113" i="3"/>
  <c r="F113" i="3" s="1"/>
  <c r="E111" i="3"/>
  <c r="F111" i="3" s="1"/>
  <c r="E109" i="3"/>
  <c r="F109" i="3" s="1"/>
  <c r="D104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9" i="3"/>
  <c r="H69" i="3" s="1"/>
  <c r="G60" i="3"/>
  <c r="H60" i="3" s="1"/>
  <c r="G68" i="3"/>
  <c r="H68" i="3" s="1"/>
  <c r="G64" i="3"/>
  <c r="H64" i="3" s="1"/>
  <c r="G71" i="3"/>
  <c r="H71" i="3" s="1"/>
  <c r="G66" i="3"/>
  <c r="H66" i="3" s="1"/>
  <c r="G62" i="3"/>
  <c r="H62" i="3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H60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H72" i="4" l="1"/>
  <c r="G76" i="4" s="1"/>
  <c r="F117" i="4"/>
  <c r="F116" i="4"/>
  <c r="G76" i="3"/>
  <c r="H74" i="4"/>
  <c r="H74" i="5"/>
  <c r="H73" i="4"/>
  <c r="F117" i="5"/>
  <c r="H74" i="3"/>
  <c r="F117" i="3"/>
  <c r="G120" i="4" l="1"/>
  <c r="F116" i="3"/>
  <c r="H73" i="3"/>
  <c r="G120" i="5"/>
  <c r="F116" i="5"/>
  <c r="H73" i="5"/>
</calcChain>
</file>

<file path=xl/sharedStrings.xml><?xml version="1.0" encoding="utf-8"?>
<sst xmlns="http://schemas.openxmlformats.org/spreadsheetml/2006/main" count="638" uniqueCount="134">
  <si>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</si>
  <si>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</si>
  <si>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</si>
  <si>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</si>
  <si>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</si>
  <si>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</si>
  <si>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</si>
  <si>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NDQD201508117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</si>
  <si>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</si>
  <si>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</si>
  <si>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</si>
  <si>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</si>
  <si>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2015-08-12 12:47:43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</si>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</sst>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2" sqref="A12:G61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128</v>
      </c>
      <c r="E18" s="656"/>
    </row>
    <row r="19" spans="1:5" ht="16.5" customHeight="1" x14ac:dyDescent="0.3">
      <c r="A19" s="657" t="s">
        <v>6</v>
      </c>
      <c r="B19" s="658">
        <v>99.15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21.47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0.2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56229963</v>
      </c>
      <c r="C24" s="663">
        <v>5196.3999999999996</v>
      </c>
      <c r="D24" s="664">
        <v>1.1000000000000001</v>
      </c>
      <c r="E24" s="665">
        <v>5.3</v>
      </c>
    </row>
    <row r="25" spans="1:5" ht="16.5" customHeight="1" x14ac:dyDescent="0.3">
      <c r="A25" s="662">
        <v>2</v>
      </c>
      <c r="B25" s="663">
        <v>56107324</v>
      </c>
      <c r="C25" s="663">
        <v>5101.8999999999996</v>
      </c>
      <c r="D25" s="664">
        <v>1.1000000000000001</v>
      </c>
      <c r="E25" s="664">
        <v>5.3</v>
      </c>
    </row>
    <row r="26" spans="1:5" ht="16.5" customHeight="1" x14ac:dyDescent="0.3">
      <c r="A26" s="662">
        <v>3</v>
      </c>
      <c r="B26" s="663">
        <v>55915029</v>
      </c>
      <c r="C26" s="663">
        <v>5053.2</v>
      </c>
      <c r="D26" s="664">
        <v>1.1000000000000001</v>
      </c>
      <c r="E26" s="664">
        <v>5.3</v>
      </c>
    </row>
    <row r="27" spans="1:5" ht="16.5" customHeight="1" x14ac:dyDescent="0.3">
      <c r="A27" s="662">
        <v>4</v>
      </c>
      <c r="B27" s="663">
        <v>55713805</v>
      </c>
      <c r="C27" s="663">
        <v>5048.5</v>
      </c>
      <c r="D27" s="664">
        <v>1.1000000000000001</v>
      </c>
      <c r="E27" s="664">
        <v>5.3</v>
      </c>
    </row>
    <row r="28" spans="1:5" ht="16.5" customHeight="1" x14ac:dyDescent="0.3">
      <c r="A28" s="662">
        <v>5</v>
      </c>
      <c r="B28" s="663">
        <v>55892132</v>
      </c>
      <c r="C28" s="663">
        <v>5029.2</v>
      </c>
      <c r="D28" s="664">
        <v>1.1000000000000001</v>
      </c>
      <c r="E28" s="664">
        <v>5.3</v>
      </c>
    </row>
    <row r="29" spans="1:5" ht="16.5" customHeight="1" x14ac:dyDescent="0.3">
      <c r="A29" s="662">
        <v>6</v>
      </c>
      <c r="B29" s="666">
        <v>55789387</v>
      </c>
      <c r="C29" s="666">
        <v>5007.1000000000004</v>
      </c>
      <c r="D29" s="667">
        <v>1.1000000000000001</v>
      </c>
      <c r="E29" s="667">
        <v>5.3</v>
      </c>
    </row>
    <row r="30" spans="1:5" ht="16.5" customHeight="1" x14ac:dyDescent="0.3">
      <c r="A30" s="668" t="s">
        <v>18</v>
      </c>
      <c r="B30" s="669">
        <f>AVERAGE(B24:B29)</f>
        <v>55941273.333333336</v>
      </c>
      <c r="C30" s="670">
        <f>AVERAGE(C24:C29)</f>
        <v>5072.7166666666672</v>
      </c>
      <c r="D30" s="671">
        <f>AVERAGE(D24:D29)</f>
        <v>1.0999999999999999</v>
      </c>
      <c r="E30" s="671">
        <f>AVERAGE(E24:E29)</f>
        <v>5.3</v>
      </c>
    </row>
    <row r="31" spans="1:5" ht="16.5" customHeight="1" x14ac:dyDescent="0.3">
      <c r="A31" s="672" t="s">
        <v>19</v>
      </c>
      <c r="B31" s="673">
        <f>(STDEV(B24:B29)/B30)</f>
        <v>3.4739019276092465E-3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129</v>
      </c>
      <c r="C34" s="682"/>
      <c r="D34" s="682"/>
      <c r="E34" s="682"/>
    </row>
    <row r="35" spans="1:5" ht="16.5" customHeight="1" x14ac:dyDescent="0.3">
      <c r="A35" s="657"/>
      <c r="B35" s="681" t="s">
        <v>130</v>
      </c>
      <c r="C35" s="682"/>
      <c r="D35" s="682"/>
      <c r="E35" s="682"/>
    </row>
    <row r="36" spans="1:5" ht="16.5" customHeight="1" x14ac:dyDescent="0.3">
      <c r="A36" s="657"/>
      <c r="B36" s="681" t="s">
        <v>131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128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99.15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24.32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0.2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62355110</v>
      </c>
      <c r="C45" s="663">
        <v>6467.1</v>
      </c>
      <c r="D45" s="664">
        <v>1.1000000000000001</v>
      </c>
      <c r="E45" s="665">
        <v>5.2</v>
      </c>
    </row>
    <row r="46" spans="1:5" ht="16.5" customHeight="1" x14ac:dyDescent="0.3">
      <c r="A46" s="662">
        <v>2</v>
      </c>
      <c r="B46" s="663">
        <v>62194857</v>
      </c>
      <c r="C46" s="663">
        <v>6688</v>
      </c>
      <c r="D46" s="664">
        <v>1.1000000000000001</v>
      </c>
      <c r="E46" s="664">
        <v>5.2</v>
      </c>
    </row>
    <row r="47" spans="1:5" ht="16.5" customHeight="1" x14ac:dyDescent="0.3">
      <c r="A47" s="662">
        <v>3</v>
      </c>
      <c r="B47" s="663">
        <v>62240540</v>
      </c>
      <c r="C47" s="663">
        <v>6697.6</v>
      </c>
      <c r="D47" s="664">
        <v>1.1000000000000001</v>
      </c>
      <c r="E47" s="664">
        <v>5.2</v>
      </c>
    </row>
    <row r="48" spans="1:5" ht="16.5" customHeight="1" x14ac:dyDescent="0.3">
      <c r="A48" s="662">
        <v>4</v>
      </c>
      <c r="B48" s="663">
        <v>62080178</v>
      </c>
      <c r="C48" s="663">
        <v>6671.1</v>
      </c>
      <c r="D48" s="664">
        <v>1.1000000000000001</v>
      </c>
      <c r="E48" s="664">
        <v>5.2</v>
      </c>
    </row>
    <row r="49" spans="1:7" ht="16.5" customHeight="1" x14ac:dyDescent="0.3">
      <c r="A49" s="662">
        <v>5</v>
      </c>
      <c r="B49" s="663">
        <v>62487633</v>
      </c>
      <c r="C49" s="663">
        <v>6700.3</v>
      </c>
      <c r="D49" s="664">
        <v>1.1000000000000001</v>
      </c>
      <c r="E49" s="664">
        <v>5.2</v>
      </c>
    </row>
    <row r="50" spans="1:7" ht="16.5" customHeight="1" x14ac:dyDescent="0.3">
      <c r="A50" s="662">
        <v>6</v>
      </c>
      <c r="B50" s="666">
        <v>62461086</v>
      </c>
      <c r="C50" s="666">
        <v>6676.4</v>
      </c>
      <c r="D50" s="667">
        <v>1.1000000000000001</v>
      </c>
      <c r="E50" s="667">
        <v>5.2</v>
      </c>
    </row>
    <row r="51" spans="1:7" ht="16.5" customHeight="1" x14ac:dyDescent="0.3">
      <c r="A51" s="668" t="s">
        <v>18</v>
      </c>
      <c r="B51" s="669">
        <f>AVERAGE(B45:B50)</f>
        <v>62303234</v>
      </c>
      <c r="C51" s="670">
        <f>AVERAGE(C45:C50)</f>
        <v>6650.0833333333348</v>
      </c>
      <c r="D51" s="671">
        <f>AVERAGE(D45:D50)</f>
        <v>1.0999999999999999</v>
      </c>
      <c r="E51" s="671">
        <f>AVERAGE(E45:E50)</f>
        <v>5.2</v>
      </c>
    </row>
    <row r="52" spans="1:7" ht="16.5" customHeight="1" x14ac:dyDescent="0.3">
      <c r="A52" s="672" t="s">
        <v>19</v>
      </c>
      <c r="B52" s="673">
        <f>(STDEV(B45:B50)/B51)</f>
        <v>2.5584512001875326E-3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129</v>
      </c>
      <c r="C55" s="682"/>
      <c r="D55" s="682"/>
      <c r="E55" s="682"/>
    </row>
    <row r="56" spans="1:7" ht="16.5" customHeight="1" x14ac:dyDescent="0.3">
      <c r="A56" s="657"/>
      <c r="B56" s="681" t="s">
        <v>130</v>
      </c>
      <c r="C56" s="682"/>
      <c r="D56" s="682"/>
      <c r="E56" s="682"/>
    </row>
    <row r="57" spans="1:7" ht="16.5" customHeight="1" x14ac:dyDescent="0.3">
      <c r="A57" s="657"/>
      <c r="B57" s="681" t="s">
        <v>131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132</v>
      </c>
      <c r="E18" s="656"/>
    </row>
    <row r="19" spans="1:5" ht="16.5" customHeight="1" x14ac:dyDescent="0.3">
      <c r="A19" s="657" t="s">
        <v>6</v>
      </c>
      <c r="B19" s="658">
        <v>99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33.47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0.3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116462205</v>
      </c>
      <c r="C24" s="663">
        <v>5784.9</v>
      </c>
      <c r="D24" s="664">
        <v>1.1000000000000001</v>
      </c>
      <c r="E24" s="665">
        <v>3.8</v>
      </c>
    </row>
    <row r="25" spans="1:5" ht="16.5" customHeight="1" x14ac:dyDescent="0.3">
      <c r="A25" s="662">
        <v>2</v>
      </c>
      <c r="B25" s="663">
        <v>116077824</v>
      </c>
      <c r="C25" s="663">
        <v>6057.8</v>
      </c>
      <c r="D25" s="664">
        <v>1.1000000000000001</v>
      </c>
      <c r="E25" s="664">
        <v>3.8</v>
      </c>
    </row>
    <row r="26" spans="1:5" ht="16.5" customHeight="1" x14ac:dyDescent="0.3">
      <c r="A26" s="662">
        <v>3</v>
      </c>
      <c r="B26" s="663">
        <v>115897625</v>
      </c>
      <c r="C26" s="663">
        <v>5980</v>
      </c>
      <c r="D26" s="664">
        <v>1.1000000000000001</v>
      </c>
      <c r="E26" s="664">
        <v>3.8</v>
      </c>
    </row>
    <row r="27" spans="1:5" ht="16.5" customHeight="1" x14ac:dyDescent="0.3">
      <c r="A27" s="662">
        <v>4</v>
      </c>
      <c r="B27" s="663">
        <v>115639780</v>
      </c>
      <c r="C27" s="663">
        <v>5998.3</v>
      </c>
      <c r="D27" s="664">
        <v>1.1000000000000001</v>
      </c>
      <c r="E27" s="664">
        <v>3.8</v>
      </c>
    </row>
    <row r="28" spans="1:5" ht="16.5" customHeight="1" x14ac:dyDescent="0.3">
      <c r="A28" s="662">
        <v>5</v>
      </c>
      <c r="B28" s="663">
        <v>115536564</v>
      </c>
      <c r="C28" s="663">
        <v>6015.3</v>
      </c>
      <c r="D28" s="664">
        <v>1.1000000000000001</v>
      </c>
      <c r="E28" s="664">
        <v>3.8</v>
      </c>
    </row>
    <row r="29" spans="1:5" ht="16.5" customHeight="1" x14ac:dyDescent="0.3">
      <c r="A29" s="662">
        <v>6</v>
      </c>
      <c r="B29" s="666">
        <v>115085168</v>
      </c>
      <c r="C29" s="666">
        <v>5991.4</v>
      </c>
      <c r="D29" s="667">
        <v>1.1000000000000001</v>
      </c>
      <c r="E29" s="667">
        <v>3.8</v>
      </c>
    </row>
    <row r="30" spans="1:5" ht="16.5" customHeight="1" x14ac:dyDescent="0.3">
      <c r="A30" s="668" t="s">
        <v>18</v>
      </c>
      <c r="B30" s="669">
        <f>AVERAGE(B24:B29)</f>
        <v>115783194.33333333</v>
      </c>
      <c r="C30" s="670">
        <f>AVERAGE(C24:C29)</f>
        <v>5971.2833333333328</v>
      </c>
      <c r="D30" s="671">
        <f>AVERAGE(D24:D29)</f>
        <v>1.0999999999999999</v>
      </c>
      <c r="E30" s="671">
        <f>AVERAGE(E24:E29)</f>
        <v>3.8000000000000003</v>
      </c>
    </row>
    <row r="31" spans="1:5" ht="16.5" customHeight="1" x14ac:dyDescent="0.3">
      <c r="A31" s="672" t="s">
        <v>19</v>
      </c>
      <c r="B31" s="673">
        <f>(STDEV(B24:B29)/B30)</f>
        <v>4.1051607741571117E-3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129</v>
      </c>
      <c r="C34" s="682"/>
      <c r="D34" s="682"/>
      <c r="E34" s="682"/>
    </row>
    <row r="35" spans="1:5" ht="16.5" customHeight="1" x14ac:dyDescent="0.3">
      <c r="A35" s="657"/>
      <c r="B35" s="681" t="s">
        <v>130</v>
      </c>
      <c r="C35" s="682"/>
      <c r="D35" s="682"/>
      <c r="E35" s="682"/>
    </row>
    <row r="36" spans="1:5" ht="16.5" customHeight="1" x14ac:dyDescent="0.3">
      <c r="A36" s="657"/>
      <c r="B36" s="681" t="s">
        <v>131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132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30.83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0.3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105643420</v>
      </c>
      <c r="C45" s="663">
        <v>6520.7</v>
      </c>
      <c r="D45" s="664">
        <v>1.1000000000000001</v>
      </c>
      <c r="E45" s="665">
        <v>3.7</v>
      </c>
    </row>
    <row r="46" spans="1:5" ht="16.5" customHeight="1" x14ac:dyDescent="0.3">
      <c r="A46" s="662">
        <v>2</v>
      </c>
      <c r="B46" s="663">
        <v>105918157</v>
      </c>
      <c r="C46" s="663">
        <v>6756.6</v>
      </c>
      <c r="D46" s="664">
        <v>1.1000000000000001</v>
      </c>
      <c r="E46" s="664">
        <v>3.7</v>
      </c>
    </row>
    <row r="47" spans="1:5" ht="16.5" customHeight="1" x14ac:dyDescent="0.3">
      <c r="A47" s="662">
        <v>3</v>
      </c>
      <c r="B47" s="663">
        <v>106249366</v>
      </c>
      <c r="C47" s="663">
        <v>6728.6</v>
      </c>
      <c r="D47" s="664">
        <v>1.1000000000000001</v>
      </c>
      <c r="E47" s="664">
        <v>3.7</v>
      </c>
    </row>
    <row r="48" spans="1:5" ht="16.5" customHeight="1" x14ac:dyDescent="0.3">
      <c r="A48" s="662">
        <v>4</v>
      </c>
      <c r="B48" s="663">
        <v>105909137</v>
      </c>
      <c r="C48" s="663">
        <v>6734.9</v>
      </c>
      <c r="D48" s="664">
        <v>1.1000000000000001</v>
      </c>
      <c r="E48" s="664">
        <v>3.7</v>
      </c>
    </row>
    <row r="49" spans="1:7" ht="16.5" customHeight="1" x14ac:dyDescent="0.3">
      <c r="A49" s="662">
        <v>5</v>
      </c>
      <c r="B49" s="663">
        <v>106628382</v>
      </c>
      <c r="C49" s="663">
        <v>6703.8</v>
      </c>
      <c r="D49" s="664">
        <v>1.1000000000000001</v>
      </c>
      <c r="E49" s="664">
        <v>3.7</v>
      </c>
    </row>
    <row r="50" spans="1:7" ht="16.5" customHeight="1" x14ac:dyDescent="0.3">
      <c r="A50" s="662">
        <v>6</v>
      </c>
      <c r="B50" s="666">
        <v>106437282</v>
      </c>
      <c r="C50" s="666">
        <v>6738.2</v>
      </c>
      <c r="D50" s="667">
        <v>1.1000000000000001</v>
      </c>
      <c r="E50" s="667">
        <v>3.7</v>
      </c>
    </row>
    <row r="51" spans="1:7" ht="16.5" customHeight="1" x14ac:dyDescent="0.3">
      <c r="A51" s="668" t="s">
        <v>18</v>
      </c>
      <c r="B51" s="669">
        <f>AVERAGE(B45:B50)</f>
        <v>106130957.33333333</v>
      </c>
      <c r="C51" s="670">
        <f>AVERAGE(C45:C50)</f>
        <v>6697.1333333333341</v>
      </c>
      <c r="D51" s="671">
        <f>AVERAGE(D45:D50)</f>
        <v>1.0999999999999999</v>
      </c>
      <c r="E51" s="671">
        <f>AVERAGE(E45:E50)</f>
        <v>3.6999999999999997</v>
      </c>
    </row>
    <row r="52" spans="1:7" ht="16.5" customHeight="1" x14ac:dyDescent="0.3">
      <c r="A52" s="672" t="s">
        <v>19</v>
      </c>
      <c r="B52" s="673">
        <f>(STDEV(B45:B50)/B51)</f>
        <v>3.4938080051031598E-3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129</v>
      </c>
      <c r="C55" s="682"/>
      <c r="D55" s="682"/>
      <c r="E55" s="682"/>
    </row>
    <row r="56" spans="1:7" ht="16.5" customHeight="1" x14ac:dyDescent="0.3">
      <c r="A56" s="657"/>
      <c r="B56" s="681" t="s">
        <v>130</v>
      </c>
      <c r="C56" s="682"/>
      <c r="D56" s="682"/>
      <c r="E56" s="682"/>
    </row>
    <row r="57" spans="1:7" ht="16.5" customHeight="1" x14ac:dyDescent="0.3">
      <c r="A57" s="657"/>
      <c r="B57" s="681" t="s">
        <v>131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133</v>
      </c>
      <c r="E18" s="656"/>
    </row>
    <row r="19" spans="1:5" ht="16.5" customHeight="1" x14ac:dyDescent="0.3">
      <c r="A19" s="657" t="s">
        <v>6</v>
      </c>
      <c r="B19" s="658">
        <v>101.34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15.79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0.15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63688632</v>
      </c>
      <c r="C24" s="663">
        <v>5784.9</v>
      </c>
      <c r="D24" s="664">
        <v>1.2</v>
      </c>
      <c r="E24" s="665">
        <v>2.9</v>
      </c>
    </row>
    <row r="25" spans="1:5" ht="16.5" customHeight="1" x14ac:dyDescent="0.3">
      <c r="A25" s="662">
        <v>2</v>
      </c>
      <c r="B25" s="663">
        <v>63516846</v>
      </c>
      <c r="C25" s="663">
        <v>5736.6</v>
      </c>
      <c r="D25" s="664">
        <v>1.2</v>
      </c>
      <c r="E25" s="664">
        <v>2.9</v>
      </c>
    </row>
    <row r="26" spans="1:5" ht="16.5" customHeight="1" x14ac:dyDescent="0.3">
      <c r="A26" s="662">
        <v>3</v>
      </c>
      <c r="B26" s="663">
        <v>63420754</v>
      </c>
      <c r="C26" s="663">
        <v>5670.5</v>
      </c>
      <c r="D26" s="664">
        <v>1.2</v>
      </c>
      <c r="E26" s="664">
        <v>2.9</v>
      </c>
    </row>
    <row r="27" spans="1:5" ht="16.5" customHeight="1" x14ac:dyDescent="0.3">
      <c r="A27" s="662">
        <v>4</v>
      </c>
      <c r="B27" s="663">
        <v>63185189</v>
      </c>
      <c r="C27" s="663">
        <v>5643.3</v>
      </c>
      <c r="D27" s="664">
        <v>1.2</v>
      </c>
      <c r="E27" s="664">
        <v>2.9</v>
      </c>
    </row>
    <row r="28" spans="1:5" ht="16.5" customHeight="1" x14ac:dyDescent="0.3">
      <c r="A28" s="662">
        <v>5</v>
      </c>
      <c r="B28" s="663">
        <v>63301218</v>
      </c>
      <c r="C28" s="663">
        <v>5678</v>
      </c>
      <c r="D28" s="664">
        <v>1.1000000000000001</v>
      </c>
      <c r="E28" s="664">
        <v>2.9</v>
      </c>
    </row>
    <row r="29" spans="1:5" ht="16.5" customHeight="1" x14ac:dyDescent="0.3">
      <c r="A29" s="662">
        <v>6</v>
      </c>
      <c r="B29" s="666">
        <v>62960071</v>
      </c>
      <c r="C29" s="666">
        <v>5674.6</v>
      </c>
      <c r="D29" s="667">
        <v>1.2</v>
      </c>
      <c r="E29" s="667">
        <v>2.9</v>
      </c>
    </row>
    <row r="30" spans="1:5" ht="16.5" customHeight="1" x14ac:dyDescent="0.3">
      <c r="A30" s="668" t="s">
        <v>18</v>
      </c>
      <c r="B30" s="669">
        <f>AVERAGE(B24:B29)</f>
        <v>63345451.666666664</v>
      </c>
      <c r="C30" s="670">
        <f>AVERAGE(C24:C29)</f>
        <v>5697.9833333333336</v>
      </c>
      <c r="D30" s="671">
        <f>AVERAGE(D24:D29)</f>
        <v>1.1833333333333333</v>
      </c>
      <c r="E30" s="671">
        <f>AVERAGE(E24:E29)</f>
        <v>2.9</v>
      </c>
    </row>
    <row r="31" spans="1:5" ht="16.5" customHeight="1" x14ac:dyDescent="0.3">
      <c r="A31" s="672" t="s">
        <v>19</v>
      </c>
      <c r="B31" s="673">
        <f>(STDEV(B24:B29)/B30)</f>
        <v>4.0493295184471029E-3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129</v>
      </c>
      <c r="C34" s="682"/>
      <c r="D34" s="682"/>
      <c r="E34" s="682"/>
    </row>
    <row r="35" spans="1:5" ht="16.5" customHeight="1" x14ac:dyDescent="0.3">
      <c r="A35" s="657"/>
      <c r="B35" s="681" t="s">
        <v>130</v>
      </c>
      <c r="C35" s="682"/>
      <c r="D35" s="682"/>
      <c r="E35" s="682"/>
    </row>
    <row r="36" spans="1:5" ht="16.5" customHeight="1" x14ac:dyDescent="0.3">
      <c r="A36" s="657"/>
      <c r="B36" s="681" t="s">
        <v>131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133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101.34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15.79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0.15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67460583</v>
      </c>
      <c r="C45" s="663">
        <v>6239.8</v>
      </c>
      <c r="D45" s="664">
        <v>1.2</v>
      </c>
      <c r="E45" s="665">
        <v>2.9</v>
      </c>
    </row>
    <row r="46" spans="1:5" ht="16.5" customHeight="1" x14ac:dyDescent="0.3">
      <c r="A46" s="662">
        <v>2</v>
      </c>
      <c r="B46" s="663">
        <v>67795040</v>
      </c>
      <c r="C46" s="663">
        <v>6416.5</v>
      </c>
      <c r="D46" s="664">
        <v>1.2</v>
      </c>
      <c r="E46" s="664">
        <v>2.9</v>
      </c>
    </row>
    <row r="47" spans="1:5" ht="16.5" customHeight="1" x14ac:dyDescent="0.3">
      <c r="A47" s="662">
        <v>3</v>
      </c>
      <c r="B47" s="663">
        <v>67961719</v>
      </c>
      <c r="C47" s="663">
        <v>6382.3</v>
      </c>
      <c r="D47" s="664">
        <v>1.2</v>
      </c>
      <c r="E47" s="664">
        <v>2.9</v>
      </c>
    </row>
    <row r="48" spans="1:5" ht="16.5" customHeight="1" x14ac:dyDescent="0.3">
      <c r="A48" s="662">
        <v>4</v>
      </c>
      <c r="B48" s="663">
        <v>67746098</v>
      </c>
      <c r="C48" s="663">
        <v>6382.3</v>
      </c>
      <c r="D48" s="664">
        <v>1.2</v>
      </c>
      <c r="E48" s="664">
        <v>2.9</v>
      </c>
    </row>
    <row r="49" spans="1:7" ht="16.5" customHeight="1" x14ac:dyDescent="0.3">
      <c r="A49" s="662">
        <v>5</v>
      </c>
      <c r="B49" s="663">
        <v>68215475</v>
      </c>
      <c r="C49" s="663">
        <v>6412</v>
      </c>
      <c r="D49" s="664">
        <v>1.2</v>
      </c>
      <c r="E49" s="664">
        <v>2.9</v>
      </c>
    </row>
    <row r="50" spans="1:7" ht="16.5" customHeight="1" x14ac:dyDescent="0.3">
      <c r="A50" s="662">
        <v>6</v>
      </c>
      <c r="B50" s="666">
        <v>68008695</v>
      </c>
      <c r="C50" s="666">
        <v>6418.9</v>
      </c>
      <c r="D50" s="667">
        <v>1.2</v>
      </c>
      <c r="E50" s="667">
        <v>2.9</v>
      </c>
    </row>
    <row r="51" spans="1:7" ht="16.5" customHeight="1" x14ac:dyDescent="0.3">
      <c r="A51" s="668" t="s">
        <v>18</v>
      </c>
      <c r="B51" s="669">
        <f>AVERAGE(B45:B50)</f>
        <v>67864601.666666672</v>
      </c>
      <c r="C51" s="670">
        <f>AVERAGE(C45:C50)</f>
        <v>6375.2999999999993</v>
      </c>
      <c r="D51" s="671">
        <f>AVERAGE(D45:D50)</f>
        <v>1.2</v>
      </c>
      <c r="E51" s="671">
        <f>AVERAGE(E45:E50)</f>
        <v>2.9</v>
      </c>
    </row>
    <row r="52" spans="1:7" ht="16.5" customHeight="1" x14ac:dyDescent="0.3">
      <c r="A52" s="672" t="s">
        <v>19</v>
      </c>
      <c r="B52" s="673">
        <f>(STDEV(B45:B50)/B51)</f>
        <v>3.8165067427510901E-3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129</v>
      </c>
      <c r="C55" s="682"/>
      <c r="D55" s="682"/>
      <c r="E55" s="682"/>
    </row>
    <row r="56" spans="1:7" ht="16.5" customHeight="1" x14ac:dyDescent="0.3">
      <c r="A56" s="657"/>
      <c r="B56" s="681" t="s">
        <v>130</v>
      </c>
      <c r="C56" s="682"/>
      <c r="D56" s="682"/>
      <c r="E56" s="682"/>
    </row>
    <row r="57" spans="1:7" ht="16.5" customHeight="1" x14ac:dyDescent="0.3">
      <c r="A57" s="657"/>
      <c r="B57" s="681" t="s">
        <v>131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5" t="s">
        <v>28</v>
      </c>
      <c r="B11" s="606"/>
      <c r="C11" s="606"/>
      <c r="D11" s="606"/>
      <c r="E11" s="606"/>
      <c r="F11" s="607"/>
      <c r="G11" s="43"/>
    </row>
    <row r="12" spans="1:7" ht="16.5" customHeight="1" x14ac:dyDescent="0.3">
      <c r="A12" s="604" t="s">
        <v>29</v>
      </c>
      <c r="B12" s="604"/>
      <c r="C12" s="604"/>
      <c r="D12" s="604"/>
      <c r="E12" s="604"/>
      <c r="F12" s="604"/>
      <c r="G12" s="42"/>
    </row>
    <row r="14" spans="1:7" ht="16.5" customHeight="1" x14ac:dyDescent="0.3">
      <c r="A14" s="609" t="s">
        <v>30</v>
      </c>
      <c r="B14" s="609"/>
      <c r="C14" s="12" t="s">
        <v>5</v>
      </c>
    </row>
    <row r="15" spans="1:7" ht="16.5" customHeight="1" x14ac:dyDescent="0.3">
      <c r="A15" s="609" t="s">
        <v>31</v>
      </c>
      <c r="B15" s="609"/>
      <c r="C15" s="12" t="s">
        <v>7</v>
      </c>
    </row>
    <row r="16" spans="1:7" ht="16.5" customHeight="1" x14ac:dyDescent="0.3">
      <c r="A16" s="609" t="s">
        <v>32</v>
      </c>
      <c r="B16" s="609"/>
      <c r="C16" s="12" t="s">
        <v>9</v>
      </c>
    </row>
    <row r="17" spans="1:5" ht="16.5" customHeight="1" x14ac:dyDescent="0.3">
      <c r="A17" s="609" t="s">
        <v>33</v>
      </c>
      <c r="B17" s="609"/>
      <c r="C17" s="12" t="s">
        <v>11</v>
      </c>
    </row>
    <row r="18" spans="1:5" ht="16.5" customHeight="1" x14ac:dyDescent="0.3">
      <c r="A18" s="609" t="s">
        <v>34</v>
      </c>
      <c r="B18" s="609"/>
      <c r="C18" s="49" t="s">
        <v>12</v>
      </c>
    </row>
    <row r="19" spans="1:5" ht="16.5" customHeight="1" x14ac:dyDescent="0.3">
      <c r="A19" s="609" t="s">
        <v>35</v>
      </c>
      <c r="B19" s="60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4" t="s">
        <v>1</v>
      </c>
      <c r="B21" s="604"/>
      <c r="C21" s="11" t="s">
        <v>36</v>
      </c>
      <c r="D21" s="18"/>
    </row>
    <row r="22" spans="1:5" ht="15.75" customHeight="1" x14ac:dyDescent="0.3">
      <c r="A22" s="608"/>
      <c r="B22" s="608"/>
      <c r="C22" s="9"/>
      <c r="D22" s="608"/>
      <c r="E22" s="60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1255.75</v>
      </c>
      <c r="D24" s="39">
        <f t="shared" ref="D24:D43" si="0">(C24-$C$46)/$C$46</f>
        <v>2.3615500428357705E-2</v>
      </c>
      <c r="E24" s="5"/>
    </row>
    <row r="25" spans="1:5" ht="15.75" customHeight="1" x14ac:dyDescent="0.3">
      <c r="C25" s="47">
        <v>1230.33</v>
      </c>
      <c r="D25" s="40">
        <f t="shared" si="0"/>
        <v>2.8945718829554131E-3</v>
      </c>
      <c r="E25" s="5"/>
    </row>
    <row r="26" spans="1:5" ht="15.75" customHeight="1" x14ac:dyDescent="0.3">
      <c r="C26" s="47">
        <v>1174.43</v>
      </c>
      <c r="D26" s="40">
        <f t="shared" si="0"/>
        <v>-4.2671907491080067E-2</v>
      </c>
      <c r="E26" s="5"/>
    </row>
    <row r="27" spans="1:5" ht="15.75" customHeight="1" x14ac:dyDescent="0.3">
      <c r="C27" s="47">
        <v>1227.55</v>
      </c>
      <c r="D27" s="40">
        <f t="shared" si="0"/>
        <v>6.2847505540947939E-4</v>
      </c>
      <c r="E27" s="5"/>
    </row>
    <row r="28" spans="1:5" ht="15.75" customHeight="1" x14ac:dyDescent="0.3">
      <c r="C28" s="47">
        <v>1251.03</v>
      </c>
      <c r="D28" s="40">
        <f t="shared" si="0"/>
        <v>1.9768026677991886E-2</v>
      </c>
      <c r="E28" s="5"/>
    </row>
    <row r="29" spans="1:5" ht="15.75" customHeight="1" x14ac:dyDescent="0.3">
      <c r="C29" s="47">
        <v>1216.22</v>
      </c>
      <c r="D29" s="40">
        <f t="shared" si="0"/>
        <v>-8.6070922309558155E-3</v>
      </c>
      <c r="E29" s="5"/>
    </row>
    <row r="30" spans="1:5" ht="15.75" customHeight="1" x14ac:dyDescent="0.3">
      <c r="C30" s="47">
        <v>1225.43</v>
      </c>
      <c r="D30" s="40">
        <f t="shared" si="0"/>
        <v>-1.0996275612801536E-3</v>
      </c>
      <c r="E30" s="5"/>
    </row>
    <row r="31" spans="1:5" ht="15.75" customHeight="1" x14ac:dyDescent="0.3">
      <c r="C31" s="47">
        <v>1235.05</v>
      </c>
      <c r="D31" s="40">
        <f t="shared" si="0"/>
        <v>6.7420456333212317E-3</v>
      </c>
      <c r="E31" s="5"/>
    </row>
    <row r="32" spans="1:5" ht="15.75" customHeight="1" x14ac:dyDescent="0.3">
      <c r="C32" s="47">
        <v>1231.25</v>
      </c>
      <c r="D32" s="40">
        <f t="shared" si="0"/>
        <v>3.644503207179314E-3</v>
      </c>
      <c r="E32" s="5"/>
    </row>
    <row r="33" spans="1:7" ht="15.75" customHeight="1" x14ac:dyDescent="0.3">
      <c r="C33" s="47">
        <v>1223.73</v>
      </c>
      <c r="D33" s="40">
        <f t="shared" si="0"/>
        <v>-2.4853702256068546E-3</v>
      </c>
      <c r="E33" s="5"/>
    </row>
    <row r="34" spans="1:7" ht="15.75" customHeight="1" x14ac:dyDescent="0.3">
      <c r="C34" s="47">
        <v>1224.18</v>
      </c>
      <c r="D34" s="40">
        <f t="shared" si="0"/>
        <v>-2.1185559909321122E-3</v>
      </c>
      <c r="E34" s="5"/>
    </row>
    <row r="35" spans="1:7" ht="15.75" customHeight="1" x14ac:dyDescent="0.3">
      <c r="C35" s="47">
        <v>1232.5899999999999</v>
      </c>
      <c r="D35" s="40">
        <f t="shared" si="0"/>
        <v>4.7367944837661468E-3</v>
      </c>
      <c r="E35" s="5"/>
    </row>
    <row r="36" spans="1:7" ht="15.75" customHeight="1" x14ac:dyDescent="0.3">
      <c r="C36" s="47">
        <v>1213.73</v>
      </c>
      <c r="D36" s="40">
        <f t="shared" si="0"/>
        <v>-1.0636797662822524E-2</v>
      </c>
      <c r="E36" s="5"/>
    </row>
    <row r="37" spans="1:7" ht="15.75" customHeight="1" x14ac:dyDescent="0.3">
      <c r="C37" s="47">
        <v>1209.19</v>
      </c>
      <c r="D37" s="40">
        <f t="shared" si="0"/>
        <v>-1.4337545719318409E-2</v>
      </c>
      <c r="E37" s="5"/>
    </row>
    <row r="38" spans="1:7" ht="15.75" customHeight="1" x14ac:dyDescent="0.3">
      <c r="C38" s="47">
        <v>1247.6199999999999</v>
      </c>
      <c r="D38" s="40">
        <f t="shared" si="0"/>
        <v>1.6988389921901277E-2</v>
      </c>
      <c r="E38" s="5"/>
    </row>
    <row r="39" spans="1:7" ht="15.75" customHeight="1" x14ac:dyDescent="0.3">
      <c r="C39" s="47">
        <v>1235.08</v>
      </c>
      <c r="D39" s="40">
        <f t="shared" si="0"/>
        <v>6.7664999156328565E-3</v>
      </c>
      <c r="E39" s="5"/>
    </row>
    <row r="40" spans="1:7" ht="15.75" customHeight="1" x14ac:dyDescent="0.3">
      <c r="C40" s="47">
        <v>1249.6300000000001</v>
      </c>
      <c r="D40" s="40">
        <f t="shared" si="0"/>
        <v>1.8626826836781803E-2</v>
      </c>
      <c r="E40" s="5"/>
    </row>
    <row r="41" spans="1:7" ht="15.75" customHeight="1" x14ac:dyDescent="0.3">
      <c r="C41" s="47">
        <v>1215.8900000000001</v>
      </c>
      <c r="D41" s="40">
        <f t="shared" si="0"/>
        <v>-8.8760893363838723E-3</v>
      </c>
      <c r="E41" s="5"/>
    </row>
    <row r="42" spans="1:7" ht="15.75" customHeight="1" x14ac:dyDescent="0.3">
      <c r="C42" s="47">
        <v>1225.51</v>
      </c>
      <c r="D42" s="40">
        <f t="shared" si="0"/>
        <v>-1.0344161417824875E-3</v>
      </c>
      <c r="E42" s="5"/>
    </row>
    <row r="43" spans="1:7" ht="16.5" customHeight="1" x14ac:dyDescent="0.3">
      <c r="C43" s="48">
        <v>1211.3900000000001</v>
      </c>
      <c r="D43" s="41">
        <f t="shared" si="0"/>
        <v>-1.2544231683130925E-2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24535.579999999994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1226.7789999999998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2">
        <f>C46</f>
        <v>1226.7789999999998</v>
      </c>
      <c r="C49" s="45">
        <f>-IF(C46&lt;=80,10%,IF(C46&lt;250,7.5%,5%))</f>
        <v>-0.05</v>
      </c>
      <c r="D49" s="33">
        <f>IF(C46&lt;=80,C46*0.9,IF(C46&lt;250,C46*0.925,C46*0.95))</f>
        <v>1165.4400499999997</v>
      </c>
    </row>
    <row r="50" spans="1:6" ht="17.25" customHeight="1" x14ac:dyDescent="0.3">
      <c r="B50" s="603"/>
      <c r="C50" s="46">
        <f>IF(C46&lt;=80, 10%, IF(C46&lt;250, 7.5%, 5%))</f>
        <v>0.05</v>
      </c>
      <c r="D50" s="33">
        <f>IF(C46&lt;=80, C46*1.1, IF(C46&lt;250, C46*1.075, C46*1.05))</f>
        <v>1288.1179499999998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5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50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52" t="s">
        <v>30</v>
      </c>
      <c r="B18" s="610" t="s">
        <v>5</v>
      </c>
      <c r="C18" s="610"/>
      <c r="D18" s="222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5" t="s">
        <v>9</v>
      </c>
      <c r="C20" s="61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0" t="s">
        <v>122</v>
      </c>
      <c r="C26" s="610"/>
    </row>
    <row r="27" spans="1:14" ht="26.25" customHeight="1" x14ac:dyDescent="0.4">
      <c r="A27" s="61" t="s">
        <v>45</v>
      </c>
      <c r="B27" s="616" t="s">
        <v>123</v>
      </c>
      <c r="C27" s="616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617" t="s">
        <v>47</v>
      </c>
      <c r="D29" s="618"/>
      <c r="E29" s="618"/>
      <c r="F29" s="618"/>
      <c r="G29" s="61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20" t="s">
        <v>50</v>
      </c>
      <c r="D31" s="621"/>
      <c r="E31" s="621"/>
      <c r="F31" s="621"/>
      <c r="G31" s="621"/>
      <c r="H31" s="62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20" t="s">
        <v>52</v>
      </c>
      <c r="D32" s="621"/>
      <c r="E32" s="621"/>
      <c r="F32" s="621"/>
      <c r="G32" s="621"/>
      <c r="H32" s="6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3" t="s">
        <v>56</v>
      </c>
      <c r="E36" s="624"/>
      <c r="F36" s="623" t="s">
        <v>57</v>
      </c>
      <c r="G36" s="6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52">
        <v>63505417</v>
      </c>
      <c r="E38" s="85">
        <f>IF(ISBLANK(D38),"-",$D$48/$D$45*D38)</f>
        <v>59530427.483875662</v>
      </c>
      <c r="F38" s="45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7">
        <v>62816346</v>
      </c>
      <c r="E39" s="90">
        <f>IF(ISBLANK(D39),"-",$D$48/$D$45*D39)</f>
        <v>58884487.450181507</v>
      </c>
      <c r="F39" s="457">
        <v>68386643</v>
      </c>
      <c r="G39" s="91">
        <f>IF(ISBLANK(F39),"-",$D$48/$F$45*F39)</f>
        <v>59578321.765563354</v>
      </c>
      <c r="I39" s="627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7">
        <v>63039899</v>
      </c>
      <c r="E40" s="90">
        <f>IF(ISBLANK(D40),"-",$D$48/$D$45*D40)</f>
        <v>59094047.615030162</v>
      </c>
      <c r="F40" s="457">
        <v>68339620</v>
      </c>
      <c r="G40" s="91">
        <f>IF(ISBLANK(F40),"-",$D$48/$F$45*F40)</f>
        <v>59537355.411587149</v>
      </c>
      <c r="I40" s="62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472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28" t="s">
        <v>75</v>
      </c>
      <c r="B46" s="629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30"/>
      <c r="B47" s="631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Each film coated tablet contains:
Lamivudine USP 150mg 
Zidovudine USP 300mg
 Nevirapine USP 200mg </v>
      </c>
      <c r="H56" s="131"/>
    </row>
    <row r="57" spans="1:12" ht="18.75" x14ac:dyDescent="0.3">
      <c r="A57" s="128" t="s">
        <v>85</v>
      </c>
      <c r="B57" s="223">
        <f>Uniformity!C46</f>
        <v>1226.7789999999998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632" t="s">
        <v>91</v>
      </c>
      <c r="D60" s="635">
        <v>967.25</v>
      </c>
      <c r="E60" s="134">
        <v>1</v>
      </c>
      <c r="F60" s="135">
        <v>44568447</v>
      </c>
      <c r="G60" s="225">
        <f>IF(ISBLANK(F60),"-",(F60/$D$50*$D$47*$B$68)*($B$57/$D$60))</f>
        <v>142.7556314993079</v>
      </c>
      <c r="H60" s="136">
        <f t="shared" ref="H60:H71" si="0">IF(ISBLANK(F60),"-",G60/$B$56)</f>
        <v>0.95170420999538596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33"/>
      <c r="D61" s="636"/>
      <c r="E61" s="137">
        <v>2</v>
      </c>
      <c r="F61" s="89">
        <v>44414864</v>
      </c>
      <c r="G61" s="226">
        <f>IF(ISBLANK(F61),"-",(F61/$D$50*$D$47*$B$68)*($B$57/$D$60))</f>
        <v>142.26369517151622</v>
      </c>
      <c r="H61" s="138">
        <f t="shared" si="0"/>
        <v>0.94842463447677483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33"/>
      <c r="D62" s="636"/>
      <c r="E62" s="137">
        <v>3</v>
      </c>
      <c r="F62" s="139">
        <v>44320332</v>
      </c>
      <c r="G62" s="226">
        <f>IF(ISBLANK(F62),"-",(F62/$D$50*$D$47*$B$68)*($B$57/$D$60))</f>
        <v>141.96090303346182</v>
      </c>
      <c r="H62" s="138">
        <f t="shared" si="0"/>
        <v>0.94640602022307874</v>
      </c>
      <c r="L62" s="64"/>
    </row>
    <row r="63" spans="1:12" ht="27" customHeight="1" x14ac:dyDescent="0.4">
      <c r="A63" s="76" t="s">
        <v>94</v>
      </c>
      <c r="B63" s="77">
        <v>1</v>
      </c>
      <c r="C63" s="634"/>
      <c r="D63" s="637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2" t="s">
        <v>96</v>
      </c>
      <c r="D64" s="635">
        <v>902.09</v>
      </c>
      <c r="E64" s="134">
        <v>1</v>
      </c>
      <c r="F64" s="135">
        <v>42660956</v>
      </c>
      <c r="G64" s="227">
        <f>IF(ISBLANK(F64),"-",(F64/$D$50*$D$47*$B$68)*($B$57/$D$64))</f>
        <v>146.51604993453722</v>
      </c>
      <c r="H64" s="142">
        <f t="shared" si="0"/>
        <v>0.97677366623024819</v>
      </c>
    </row>
    <row r="65" spans="1:8" ht="26.25" customHeight="1" x14ac:dyDescent="0.4">
      <c r="A65" s="76" t="s">
        <v>97</v>
      </c>
      <c r="B65" s="77">
        <v>1</v>
      </c>
      <c r="C65" s="633"/>
      <c r="D65" s="636"/>
      <c r="E65" s="137">
        <v>2</v>
      </c>
      <c r="F65" s="89">
        <v>42649242</v>
      </c>
      <c r="G65" s="228">
        <f>IF(ISBLANK(F65),"-",(F65/$D$50*$D$47*$B$68)*($B$57/$D$64))</f>
        <v>146.47581902623472</v>
      </c>
      <c r="H65" s="143">
        <f t="shared" si="0"/>
        <v>0.97650546017489814</v>
      </c>
    </row>
    <row r="66" spans="1:8" ht="26.25" customHeight="1" x14ac:dyDescent="0.4">
      <c r="A66" s="76" t="s">
        <v>98</v>
      </c>
      <c r="B66" s="77">
        <v>1</v>
      </c>
      <c r="C66" s="633"/>
      <c r="D66" s="636"/>
      <c r="E66" s="137">
        <v>3</v>
      </c>
      <c r="F66" s="89">
        <v>42579097</v>
      </c>
      <c r="G66" s="228">
        <f>IF(ISBLANK(F66),"-",(F66/$D$50*$D$47*$B$68)*($B$57/$D$64))</f>
        <v>146.23491096213371</v>
      </c>
      <c r="H66" s="143">
        <f t="shared" si="0"/>
        <v>0.97489940641422479</v>
      </c>
    </row>
    <row r="67" spans="1:8" ht="27" customHeight="1" x14ac:dyDescent="0.4">
      <c r="A67" s="76" t="s">
        <v>99</v>
      </c>
      <c r="B67" s="77">
        <v>1</v>
      </c>
      <c r="C67" s="634"/>
      <c r="D67" s="637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632" t="s">
        <v>101</v>
      </c>
      <c r="D68" s="635">
        <v>893.3</v>
      </c>
      <c r="E68" s="134">
        <v>1</v>
      </c>
      <c r="F68" s="135">
        <v>42029098</v>
      </c>
      <c r="G68" s="227">
        <f>IF(ISBLANK(F68),"-",(F68/$D$50*$D$47*$B$68)*($B$57/$D$68))</f>
        <v>145.76633090845354</v>
      </c>
      <c r="H68" s="138">
        <f t="shared" si="0"/>
        <v>0.9717755393896903</v>
      </c>
    </row>
    <row r="69" spans="1:8" ht="27" customHeight="1" x14ac:dyDescent="0.4">
      <c r="A69" s="124" t="s">
        <v>102</v>
      </c>
      <c r="B69" s="146">
        <f>(D47*B68)/B56*B57</f>
        <v>1226.7789999999998</v>
      </c>
      <c r="C69" s="633"/>
      <c r="D69" s="636"/>
      <c r="E69" s="137">
        <v>2</v>
      </c>
      <c r="F69" s="89">
        <v>42179682</v>
      </c>
      <c r="G69" s="228">
        <f>IF(ISBLANK(F69),"-",(F69/$D$50*$D$47*$B$68)*($B$57/$D$68))</f>
        <v>146.28858996748733</v>
      </c>
      <c r="H69" s="138">
        <f t="shared" si="0"/>
        <v>0.97525726644991551</v>
      </c>
    </row>
    <row r="70" spans="1:8" ht="26.25" customHeight="1" x14ac:dyDescent="0.4">
      <c r="A70" s="645" t="s">
        <v>75</v>
      </c>
      <c r="B70" s="646"/>
      <c r="C70" s="633"/>
      <c r="D70" s="636"/>
      <c r="E70" s="137">
        <v>3</v>
      </c>
      <c r="F70" s="89">
        <v>42135194</v>
      </c>
      <c r="G70" s="228">
        <f>IF(ISBLANK(F70),"-",(F70/$D$50*$D$47*$B$68)*($B$57/$D$68))</f>
        <v>146.13429561338401</v>
      </c>
      <c r="H70" s="138">
        <f t="shared" si="0"/>
        <v>0.97422863742256005</v>
      </c>
    </row>
    <row r="71" spans="1:8" ht="27" customHeight="1" x14ac:dyDescent="0.4">
      <c r="A71" s="647"/>
      <c r="B71" s="648"/>
      <c r="C71" s="644"/>
      <c r="D71" s="637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0.96621942675297512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30">
        <f>STDEV(H60:H71)/H72</f>
        <v>1.363811841207572E-2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640" t="str">
        <f>B20</f>
        <v xml:space="preserve">Each film coated tablet contains:
Lamivudine USP 150mg 
Zidovudine USP 300mg
 Nevirapine USP 200mg </v>
      </c>
      <c r="D76" s="640"/>
      <c r="E76" s="157" t="s">
        <v>105</v>
      </c>
      <c r="F76" s="157"/>
      <c r="G76" s="158">
        <f>H72</f>
        <v>0.96621942675297512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6" t="str">
        <f>B26</f>
        <v>lamivudine</v>
      </c>
      <c r="C79" s="626"/>
    </row>
    <row r="80" spans="1:8" ht="26.25" customHeight="1" x14ac:dyDescent="0.4">
      <c r="A80" s="61" t="s">
        <v>45</v>
      </c>
      <c r="B80" s="626" t="str">
        <f>B27</f>
        <v>WRS/L3/6</v>
      </c>
      <c r="C80" s="626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617" t="s">
        <v>47</v>
      </c>
      <c r="D82" s="618"/>
      <c r="E82" s="618"/>
      <c r="F82" s="618"/>
      <c r="G82" s="61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20" t="s">
        <v>108</v>
      </c>
      <c r="D84" s="621"/>
      <c r="E84" s="621"/>
      <c r="F84" s="621"/>
      <c r="G84" s="621"/>
      <c r="H84" s="62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20" t="s">
        <v>109</v>
      </c>
      <c r="D85" s="621"/>
      <c r="E85" s="621"/>
      <c r="F85" s="621"/>
      <c r="G85" s="621"/>
      <c r="H85" s="6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623" t="s">
        <v>57</v>
      </c>
      <c r="G89" s="625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64704509.300811455</v>
      </c>
      <c r="I92" s="627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64763612.578232236</v>
      </c>
      <c r="I93" s="62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64874777.031905055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628" t="s">
        <v>75</v>
      </c>
      <c r="B99" s="642"/>
      <c r="C99" s="174" t="s">
        <v>113</v>
      </c>
      <c r="D99" s="178">
        <f>D98/$B$98</f>
        <v>0.17400078000000005</v>
      </c>
      <c r="E99" s="110"/>
      <c r="F99" s="113">
        <f>F98/$B$98</f>
        <v>0.16609626000000002</v>
      </c>
      <c r="G99" s="179"/>
      <c r="H99" s="102"/>
    </row>
    <row r="100" spans="1:10" ht="19.5" customHeight="1" x14ac:dyDescent="0.3">
      <c r="A100" s="630"/>
      <c r="B100" s="643"/>
      <c r="C100" s="174" t="s">
        <v>77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64875175.257163934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2.7478181865647397E-3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68988932</v>
      </c>
      <c r="E108" s="231">
        <f t="shared" ref="E108:E113" si="1">IF(ISBLANK(D108),"-",D108/$D$103*$D$100*$B$116)</f>
        <v>159.51155058894841</v>
      </c>
      <c r="F108" s="197">
        <f t="shared" ref="F108:F113" si="2">IF(ISBLANK(D108), "-", E108/$B$56)</f>
        <v>1.0634103372596562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68086180</v>
      </c>
      <c r="E109" s="232">
        <f t="shared" si="1"/>
        <v>157.42426836638447</v>
      </c>
      <c r="F109" s="198">
        <f t="shared" si="2"/>
        <v>1.049495122442563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66649154</v>
      </c>
      <c r="E110" s="232">
        <f t="shared" si="1"/>
        <v>154.10167387402973</v>
      </c>
      <c r="F110" s="198">
        <f t="shared" si="2"/>
        <v>1.0273444924935315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67425625</v>
      </c>
      <c r="E111" s="232">
        <f t="shared" si="1"/>
        <v>155.89697769461</v>
      </c>
      <c r="F111" s="198">
        <f t="shared" si="2"/>
        <v>1.0393131846307333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66661627</v>
      </c>
      <c r="E112" s="232">
        <f t="shared" si="1"/>
        <v>154.13051310248011</v>
      </c>
      <c r="F112" s="198">
        <f t="shared" si="2"/>
        <v>1.0275367540165341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66775316</v>
      </c>
      <c r="E113" s="233">
        <f t="shared" si="1"/>
        <v>154.39337713224805</v>
      </c>
      <c r="F113" s="201">
        <f t="shared" si="2"/>
        <v>1.0292891808816536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1.0393981786207787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208">
        <f>STDEV(F108:F113)/F115</f>
        <v>1.4052623743914828E-2</v>
      </c>
      <c r="I116" s="50"/>
    </row>
    <row r="117" spans="1:10" ht="27" customHeight="1" x14ac:dyDescent="0.4">
      <c r="A117" s="628" t="s">
        <v>75</v>
      </c>
      <c r="B117" s="629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30"/>
      <c r="B118" s="631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640" t="str">
        <f>B20</f>
        <v xml:space="preserve">Each film coated tablet contains:
Lamivudine USP 150mg 
Zidovudine USP 300mg
 Nevirapine USP 200mg </v>
      </c>
      <c r="D120" s="640"/>
      <c r="E120" s="157" t="s">
        <v>121</v>
      </c>
      <c r="F120" s="157"/>
      <c r="G120" s="158">
        <f>F115</f>
        <v>1.0393981786207787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1" t="s">
        <v>23</v>
      </c>
      <c r="C122" s="641"/>
      <c r="E122" s="163" t="s">
        <v>24</v>
      </c>
      <c r="F122" s="215"/>
      <c r="G122" s="641" t="s">
        <v>25</v>
      </c>
      <c r="H122" s="641"/>
    </row>
    <row r="123" spans="1:10" ht="69.95" customHeight="1" x14ac:dyDescent="0.3">
      <c r="A123" s="216" t="s">
        <v>26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27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7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234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236" t="s">
        <v>30</v>
      </c>
      <c r="B18" s="610" t="s">
        <v>5</v>
      </c>
      <c r="C18" s="610"/>
      <c r="D18" s="406"/>
      <c r="E18" s="237"/>
      <c r="F18" s="238"/>
      <c r="G18" s="238"/>
      <c r="H18" s="238"/>
    </row>
    <row r="19" spans="1:14" ht="26.25" customHeight="1" x14ac:dyDescent="0.4">
      <c r="A19" s="236" t="s">
        <v>31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32</v>
      </c>
      <c r="B20" s="615" t="s">
        <v>9</v>
      </c>
      <c r="C20" s="615"/>
      <c r="D20" s="238"/>
      <c r="E20" s="238"/>
      <c r="F20" s="238"/>
      <c r="G20" s="238"/>
      <c r="H20" s="238"/>
    </row>
    <row r="21" spans="1:14" ht="26.25" customHeight="1" x14ac:dyDescent="0.4">
      <c r="A21" s="236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240"/>
    </row>
    <row r="22" spans="1:14" ht="26.25" customHeight="1" x14ac:dyDescent="0.4">
      <c r="A22" s="236" t="s">
        <v>34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35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10" t="s">
        <v>124</v>
      </c>
      <c r="C26" s="610"/>
    </row>
    <row r="27" spans="1:14" ht="26.25" customHeight="1" x14ac:dyDescent="0.4">
      <c r="A27" s="245" t="s">
        <v>45</v>
      </c>
      <c r="B27" s="616" t="s">
        <v>125</v>
      </c>
      <c r="C27" s="616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46</v>
      </c>
      <c r="B29" s="247"/>
      <c r="C29" s="617" t="s">
        <v>47</v>
      </c>
      <c r="D29" s="618"/>
      <c r="E29" s="618"/>
      <c r="F29" s="618"/>
      <c r="G29" s="619"/>
      <c r="I29" s="248"/>
      <c r="J29" s="248"/>
      <c r="K29" s="248"/>
      <c r="L29" s="248"/>
    </row>
    <row r="30" spans="1:14" s="3" customFormat="1" ht="19.5" customHeight="1" x14ac:dyDescent="0.3">
      <c r="A30" s="245" t="s">
        <v>48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49</v>
      </c>
      <c r="B31" s="252">
        <v>1</v>
      </c>
      <c r="C31" s="620" t="s">
        <v>50</v>
      </c>
      <c r="D31" s="621"/>
      <c r="E31" s="621"/>
      <c r="F31" s="621"/>
      <c r="G31" s="621"/>
      <c r="H31" s="622"/>
      <c r="I31" s="248"/>
      <c r="J31" s="248"/>
      <c r="K31" s="248"/>
      <c r="L31" s="248"/>
    </row>
    <row r="32" spans="1:14" s="3" customFormat="1" ht="27" customHeight="1" x14ac:dyDescent="0.4">
      <c r="A32" s="245" t="s">
        <v>51</v>
      </c>
      <c r="B32" s="252">
        <v>1</v>
      </c>
      <c r="C32" s="620" t="s">
        <v>52</v>
      </c>
      <c r="D32" s="621"/>
      <c r="E32" s="621"/>
      <c r="F32" s="621"/>
      <c r="G32" s="621"/>
      <c r="H32" s="622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53</v>
      </c>
      <c r="B34" s="257">
        <f>B31/B32</f>
        <v>1</v>
      </c>
      <c r="C34" s="235" t="s">
        <v>54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55</v>
      </c>
      <c r="B36" s="259">
        <v>50</v>
      </c>
      <c r="C36" s="235"/>
      <c r="D36" s="623" t="s">
        <v>56</v>
      </c>
      <c r="E36" s="624"/>
      <c r="F36" s="623" t="s">
        <v>57</v>
      </c>
      <c r="G36" s="625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58</v>
      </c>
      <c r="B37" s="261">
        <v>5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62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63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52533921.659677826</v>
      </c>
      <c r="F38" s="452">
        <v>49286327</v>
      </c>
      <c r="G38" s="459">
        <f t="shared" ref="G38" si="0"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64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52183744.407811061</v>
      </c>
      <c r="F39" s="457">
        <v>49171145</v>
      </c>
      <c r="G39" s="459">
        <f>IF(ISBLANK(F39),"-",$D$48/$F$45*F39)</f>
        <v>52590331.711381309</v>
      </c>
      <c r="I39" s="627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65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52356841.254999116</v>
      </c>
      <c r="F40" s="457">
        <v>49114126</v>
      </c>
      <c r="G40" s="275">
        <f>IF(ISBLANK(F40),"-",$D$48/$F$45*F40)</f>
        <v>52529347.812717743</v>
      </c>
      <c r="I40" s="627"/>
      <c r="L40" s="253"/>
      <c r="M40" s="253"/>
      <c r="N40" s="276"/>
    </row>
    <row r="41" spans="1:14" ht="27" customHeight="1" x14ac:dyDescent="0.4">
      <c r="A41" s="260" t="s">
        <v>66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67</v>
      </c>
      <c r="B42" s="261">
        <v>1</v>
      </c>
      <c r="C42" s="282" t="s">
        <v>68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69</v>
      </c>
      <c r="B43" s="261">
        <v>1</v>
      </c>
      <c r="C43" s="287" t="s">
        <v>70</v>
      </c>
      <c r="D43" s="472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71</v>
      </c>
      <c r="B44" s="261">
        <v>1</v>
      </c>
      <c r="C44" s="289" t="s">
        <v>72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73</v>
      </c>
      <c r="B45" s="292">
        <f>(B44/B43)*(B42/B41)*(B40/B39)*(B38/B37)*B36</f>
        <v>100</v>
      </c>
      <c r="C45" s="289" t="s">
        <v>74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28" t="s">
        <v>75</v>
      </c>
      <c r="B46" s="629"/>
      <c r="C46" s="289" t="s">
        <v>76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30"/>
      <c r="B47" s="631"/>
      <c r="C47" s="298" t="s">
        <v>77</v>
      </c>
      <c r="D47" s="299">
        <v>0.2</v>
      </c>
      <c r="E47" s="300"/>
      <c r="F47" s="296"/>
      <c r="H47" s="286"/>
    </row>
    <row r="48" spans="1:14" ht="18.75" x14ac:dyDescent="0.3">
      <c r="C48" s="301" t="s">
        <v>78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79</v>
      </c>
      <c r="D49" s="304">
        <f>D48/B34</f>
        <v>20</v>
      </c>
      <c r="F49" s="302"/>
      <c r="H49" s="286"/>
    </row>
    <row r="50" spans="1:12" ht="18.75" x14ac:dyDescent="0.3">
      <c r="C50" s="258" t="s">
        <v>80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81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82</v>
      </c>
    </row>
    <row r="55" spans="1:12" ht="18.75" x14ac:dyDescent="0.3">
      <c r="A55" s="235" t="s">
        <v>83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84</v>
      </c>
      <c r="B56" s="314">
        <v>200</v>
      </c>
      <c r="C56" s="235" t="str">
        <f>B20</f>
        <v xml:space="preserve">Each film coated tablet contains:
Lamivudine USP 150mg 
Zidovudine USP 300mg
 Nevirapine USP 200mg </v>
      </c>
      <c r="H56" s="315"/>
    </row>
    <row r="57" spans="1:12" ht="18.75" x14ac:dyDescent="0.3">
      <c r="A57" s="312" t="s">
        <v>85</v>
      </c>
      <c r="B57" s="407">
        <f>Uniformity!C46</f>
        <v>1226.7789999999998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86</v>
      </c>
      <c r="B59" s="259">
        <v>100</v>
      </c>
      <c r="C59" s="235"/>
      <c r="D59" s="316" t="s">
        <v>87</v>
      </c>
      <c r="E59" s="317" t="s">
        <v>59</v>
      </c>
      <c r="F59" s="317" t="s">
        <v>60</v>
      </c>
      <c r="G59" s="317" t="s">
        <v>88</v>
      </c>
      <c r="H59" s="262" t="s">
        <v>89</v>
      </c>
      <c r="L59" s="248"/>
    </row>
    <row r="60" spans="1:12" s="3" customFormat="1" ht="26.25" customHeight="1" x14ac:dyDescent="0.4">
      <c r="A60" s="260" t="s">
        <v>90</v>
      </c>
      <c r="B60" s="261">
        <v>5</v>
      </c>
      <c r="C60" s="632" t="s">
        <v>91</v>
      </c>
      <c r="D60" s="635">
        <v>967.25</v>
      </c>
      <c r="E60" s="318">
        <v>1</v>
      </c>
      <c r="F60" s="319">
        <v>39587699</v>
      </c>
      <c r="G60" s="409">
        <f>IF(ISBLANK(F60),"-",(F60/$D$50*$D$47*$B$68)*($B$57/$D$60))</f>
        <v>191.33120498296097</v>
      </c>
      <c r="H60" s="320">
        <f t="shared" ref="H60:H71" si="1">IF(ISBLANK(F60),"-",G60/$B$56)</f>
        <v>0.95665602491480484</v>
      </c>
      <c r="L60" s="248"/>
    </row>
    <row r="61" spans="1:12" s="3" customFormat="1" ht="26.25" customHeight="1" x14ac:dyDescent="0.4">
      <c r="A61" s="260" t="s">
        <v>92</v>
      </c>
      <c r="B61" s="261">
        <v>50</v>
      </c>
      <c r="C61" s="633"/>
      <c r="D61" s="636"/>
      <c r="E61" s="321">
        <v>2</v>
      </c>
      <c r="F61" s="273">
        <v>39469188</v>
      </c>
      <c r="G61" s="410">
        <f>IF(ISBLANK(F61),"-",(F61/$D$50*$D$47*$B$68)*($B$57/$D$60))</f>
        <v>190.75842977736656</v>
      </c>
      <c r="H61" s="322">
        <f t="shared" si="1"/>
        <v>0.95379214888683284</v>
      </c>
      <c r="L61" s="248"/>
    </row>
    <row r="62" spans="1:12" s="3" customFormat="1" ht="26.25" customHeight="1" x14ac:dyDescent="0.4">
      <c r="A62" s="260" t="s">
        <v>93</v>
      </c>
      <c r="B62" s="261">
        <v>1</v>
      </c>
      <c r="C62" s="633"/>
      <c r="D62" s="636"/>
      <c r="E62" s="321">
        <v>3</v>
      </c>
      <c r="F62" s="323">
        <v>39356801</v>
      </c>
      <c r="G62" s="410">
        <f>IF(ISBLANK(F62),"-",(F62/$D$50*$D$47*$B$68)*($B$57/$D$60))</f>
        <v>190.21525246023026</v>
      </c>
      <c r="H62" s="322">
        <f t="shared" si="1"/>
        <v>0.95107626230115128</v>
      </c>
      <c r="L62" s="248"/>
    </row>
    <row r="63" spans="1:12" ht="27" customHeight="1" x14ac:dyDescent="0.4">
      <c r="A63" s="260" t="s">
        <v>94</v>
      </c>
      <c r="B63" s="261">
        <v>1</v>
      </c>
      <c r="C63" s="634"/>
      <c r="D63" s="637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1"/>
        <v>-</v>
      </c>
    </row>
    <row r="64" spans="1:12" ht="26.25" customHeight="1" x14ac:dyDescent="0.4">
      <c r="A64" s="260" t="s">
        <v>95</v>
      </c>
      <c r="B64" s="261">
        <v>1</v>
      </c>
      <c r="C64" s="632" t="s">
        <v>96</v>
      </c>
      <c r="D64" s="635">
        <v>902.09</v>
      </c>
      <c r="E64" s="318">
        <v>1</v>
      </c>
      <c r="F64" s="319">
        <v>37625626</v>
      </c>
      <c r="G64" s="411">
        <f>IF(ISBLANK(F64),"-",(F64/$D$50*$D$47*$B$68)*($B$57/$D$64))</f>
        <v>194.98362996553419</v>
      </c>
      <c r="H64" s="326">
        <f t="shared" si="1"/>
        <v>0.974918149827671</v>
      </c>
    </row>
    <row r="65" spans="1:8" ht="26.25" customHeight="1" x14ac:dyDescent="0.4">
      <c r="A65" s="260" t="s">
        <v>97</v>
      </c>
      <c r="B65" s="261">
        <v>1</v>
      </c>
      <c r="C65" s="633"/>
      <c r="D65" s="636"/>
      <c r="E65" s="321">
        <v>2</v>
      </c>
      <c r="F65" s="273">
        <v>37638037</v>
      </c>
      <c r="G65" s="412">
        <f>IF(ISBLANK(F65),"-",(F65/$D$50*$D$47*$B$68)*($B$57/$D$64))</f>
        <v>195.04794628631785</v>
      </c>
      <c r="H65" s="327">
        <f t="shared" si="1"/>
        <v>0.97523973143158926</v>
      </c>
    </row>
    <row r="66" spans="1:8" ht="26.25" customHeight="1" x14ac:dyDescent="0.4">
      <c r="A66" s="260" t="s">
        <v>98</v>
      </c>
      <c r="B66" s="261">
        <v>1</v>
      </c>
      <c r="C66" s="633"/>
      <c r="D66" s="636"/>
      <c r="E66" s="321">
        <v>3</v>
      </c>
      <c r="F66" s="273">
        <v>37512807</v>
      </c>
      <c r="G66" s="412">
        <f>IF(ISBLANK(F66),"-",(F66/$D$50*$D$47*$B$68)*($B$57/$D$64))</f>
        <v>194.39897901117979</v>
      </c>
      <c r="H66" s="327">
        <f t="shared" si="1"/>
        <v>0.97199489505589898</v>
      </c>
    </row>
    <row r="67" spans="1:8" ht="27" customHeight="1" x14ac:dyDescent="0.4">
      <c r="A67" s="260" t="s">
        <v>99</v>
      </c>
      <c r="B67" s="261">
        <v>1</v>
      </c>
      <c r="C67" s="634"/>
      <c r="D67" s="637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1"/>
        <v>-</v>
      </c>
    </row>
    <row r="68" spans="1:8" ht="26.25" customHeight="1" x14ac:dyDescent="0.4">
      <c r="A68" s="260" t="s">
        <v>100</v>
      </c>
      <c r="B68" s="329">
        <f>(B67/B66)*(B65/B64)*(B63/B62)*(B61/B60)*B59</f>
        <v>1000</v>
      </c>
      <c r="C68" s="632" t="s">
        <v>101</v>
      </c>
      <c r="D68" s="635">
        <v>893.3</v>
      </c>
      <c r="E68" s="318">
        <v>1</v>
      </c>
      <c r="F68" s="319">
        <v>36847739</v>
      </c>
      <c r="G68" s="411">
        <f>IF(ISBLANK(F68),"-",(F68/$D$50*$D$47*$B$68)*($B$57/$D$68))</f>
        <v>192.83141849314487</v>
      </c>
      <c r="H68" s="322">
        <f t="shared" si="1"/>
        <v>0.96415709246572434</v>
      </c>
    </row>
    <row r="69" spans="1:8" ht="27" customHeight="1" x14ac:dyDescent="0.4">
      <c r="A69" s="308" t="s">
        <v>102</v>
      </c>
      <c r="B69" s="330">
        <f>(D47*B68)/B56*B57</f>
        <v>1226.7789999999998</v>
      </c>
      <c r="C69" s="633"/>
      <c r="D69" s="636"/>
      <c r="E69" s="321">
        <v>2</v>
      </c>
      <c r="F69" s="273">
        <v>36965842</v>
      </c>
      <c r="G69" s="412">
        <f>IF(ISBLANK(F69),"-",(F69/$D$50*$D$47*$B$68)*($B$57/$D$68))</f>
        <v>193.44947457029784</v>
      </c>
      <c r="H69" s="322">
        <f t="shared" si="1"/>
        <v>0.96724737285148921</v>
      </c>
    </row>
    <row r="70" spans="1:8" ht="26.25" customHeight="1" x14ac:dyDescent="0.4">
      <c r="A70" s="645" t="s">
        <v>75</v>
      </c>
      <c r="B70" s="646"/>
      <c r="C70" s="633"/>
      <c r="D70" s="636"/>
      <c r="E70" s="321">
        <v>3</v>
      </c>
      <c r="F70" s="273">
        <v>36922351</v>
      </c>
      <c r="G70" s="412">
        <f>IF(ISBLANK(F70),"-",(F70/$D$50*$D$47*$B$68)*($B$57/$D$68))</f>
        <v>193.22187766885202</v>
      </c>
      <c r="H70" s="322">
        <f t="shared" si="1"/>
        <v>0.96610938834426008</v>
      </c>
    </row>
    <row r="71" spans="1:8" ht="27" customHeight="1" x14ac:dyDescent="0.4">
      <c r="A71" s="647"/>
      <c r="B71" s="648"/>
      <c r="C71" s="644"/>
      <c r="D71" s="637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1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68</v>
      </c>
      <c r="H72" s="335">
        <f>AVERAGE(H60:H71)</f>
        <v>0.96457678511993572</v>
      </c>
    </row>
    <row r="73" spans="1:8" ht="26.25" customHeight="1" x14ac:dyDescent="0.4">
      <c r="C73" s="332"/>
      <c r="D73" s="332"/>
      <c r="E73" s="332"/>
      <c r="F73" s="333"/>
      <c r="G73" s="336" t="s">
        <v>81</v>
      </c>
      <c r="H73" s="414">
        <f>STDEV(H60:H71)/H72</f>
        <v>9.3207103445649159E-3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103</v>
      </c>
      <c r="B76" s="340" t="s">
        <v>104</v>
      </c>
      <c r="C76" s="640" t="str">
        <f>B20</f>
        <v xml:space="preserve">Each film coated tablet contains:
Lamivudine USP 150mg 
Zidovudine USP 300mg
 Nevirapine USP 200mg </v>
      </c>
      <c r="D76" s="640"/>
      <c r="E76" s="341" t="s">
        <v>105</v>
      </c>
      <c r="F76" s="341"/>
      <c r="G76" s="342">
        <f>H72</f>
        <v>0.96457678511993572</v>
      </c>
      <c r="H76" s="343"/>
    </row>
    <row r="77" spans="1:8" ht="18.75" x14ac:dyDescent="0.3">
      <c r="A77" s="243" t="s">
        <v>106</v>
      </c>
      <c r="B77" s="243" t="s">
        <v>107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26" t="str">
        <f>B26</f>
        <v>NEVIRAPINE</v>
      </c>
      <c r="C79" s="626"/>
    </row>
    <row r="80" spans="1:8" ht="26.25" customHeight="1" x14ac:dyDescent="0.4">
      <c r="A80" s="245" t="s">
        <v>45</v>
      </c>
      <c r="B80" s="626" t="str">
        <f>B27</f>
        <v>WRS/N1-2</v>
      </c>
      <c r="C80" s="626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46</v>
      </c>
      <c r="B82" s="247">
        <v>0</v>
      </c>
      <c r="C82" s="617" t="s">
        <v>47</v>
      </c>
      <c r="D82" s="618"/>
      <c r="E82" s="618"/>
      <c r="F82" s="618"/>
      <c r="G82" s="619"/>
      <c r="I82" s="248"/>
      <c r="J82" s="248"/>
      <c r="K82" s="248"/>
      <c r="L82" s="248"/>
    </row>
    <row r="83" spans="1:12" s="3" customFormat="1" ht="19.5" customHeight="1" x14ac:dyDescent="0.3">
      <c r="A83" s="245" t="s">
        <v>48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49</v>
      </c>
      <c r="B84" s="252">
        <v>1</v>
      </c>
      <c r="C84" s="620" t="s">
        <v>108</v>
      </c>
      <c r="D84" s="621"/>
      <c r="E84" s="621"/>
      <c r="F84" s="621"/>
      <c r="G84" s="621"/>
      <c r="H84" s="622"/>
      <c r="I84" s="248"/>
      <c r="J84" s="248"/>
      <c r="K84" s="248"/>
      <c r="L84" s="248"/>
    </row>
    <row r="85" spans="1:12" s="3" customFormat="1" ht="27" customHeight="1" x14ac:dyDescent="0.4">
      <c r="A85" s="245" t="s">
        <v>51</v>
      </c>
      <c r="B85" s="252">
        <v>1</v>
      </c>
      <c r="C85" s="620" t="s">
        <v>109</v>
      </c>
      <c r="D85" s="621"/>
      <c r="E85" s="621"/>
      <c r="F85" s="621"/>
      <c r="G85" s="621"/>
      <c r="H85" s="622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53</v>
      </c>
      <c r="B87" s="257">
        <f>B84/B85</f>
        <v>1</v>
      </c>
      <c r="C87" s="235" t="s">
        <v>54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55</v>
      </c>
      <c r="B89" s="259">
        <v>50</v>
      </c>
      <c r="D89" s="345" t="s">
        <v>56</v>
      </c>
      <c r="E89" s="346"/>
      <c r="F89" s="623" t="s">
        <v>57</v>
      </c>
      <c r="G89" s="625"/>
    </row>
    <row r="90" spans="1:12" ht="27" customHeight="1" x14ac:dyDescent="0.4">
      <c r="A90" s="260" t="s">
        <v>58</v>
      </c>
      <c r="B90" s="261">
        <v>5</v>
      </c>
      <c r="C90" s="347" t="s">
        <v>59</v>
      </c>
      <c r="D90" s="263" t="s">
        <v>60</v>
      </c>
      <c r="E90" s="264" t="s">
        <v>61</v>
      </c>
      <c r="F90" s="263" t="s">
        <v>60</v>
      </c>
      <c r="G90" s="348" t="s">
        <v>61</v>
      </c>
      <c r="I90" s="266" t="s">
        <v>62</v>
      </c>
    </row>
    <row r="91" spans="1:12" ht="26.25" customHeight="1" x14ac:dyDescent="0.4">
      <c r="A91" s="260" t="s">
        <v>63</v>
      </c>
      <c r="B91" s="261">
        <v>10</v>
      </c>
      <c r="C91" s="349">
        <v>1</v>
      </c>
      <c r="D91" s="268">
        <v>62028252</v>
      </c>
      <c r="E91" s="269">
        <f>IF(ISBLANK(D91),"-",$D$101/$D$98*D91)</f>
        <v>57163753.748971514</v>
      </c>
      <c r="F91" s="268">
        <v>60042994</v>
      </c>
      <c r="G91" s="270">
        <f>IF(ISBLANK(F91),"-",$D$101/$F$98*F91)</f>
        <v>57682273.415569223</v>
      </c>
      <c r="I91" s="271"/>
    </row>
    <row r="92" spans="1:12" ht="26.25" customHeight="1" x14ac:dyDescent="0.4">
      <c r="A92" s="260" t="s">
        <v>64</v>
      </c>
      <c r="B92" s="261">
        <v>1</v>
      </c>
      <c r="C92" s="333">
        <v>2</v>
      </c>
      <c r="D92" s="273">
        <v>62357615</v>
      </c>
      <c r="E92" s="274">
        <f>IF(ISBLANK(D92),"-",$D$101/$D$98*D92)</f>
        <v>57467286.813646987</v>
      </c>
      <c r="F92" s="273">
        <v>59746596</v>
      </c>
      <c r="G92" s="275">
        <f>IF(ISBLANK(F92),"-",$D$101/$F$98*F92)</f>
        <v>57397528.946034141</v>
      </c>
      <c r="I92" s="627">
        <f>ABS((F96/D96*D95)-F95)/D95</f>
        <v>2.4516756305647449E-3</v>
      </c>
    </row>
    <row r="93" spans="1:12" ht="26.25" customHeight="1" x14ac:dyDescent="0.4">
      <c r="A93" s="260" t="s">
        <v>65</v>
      </c>
      <c r="B93" s="261">
        <v>1</v>
      </c>
      <c r="C93" s="333">
        <v>3</v>
      </c>
      <c r="D93" s="273">
        <v>62281686</v>
      </c>
      <c r="E93" s="274">
        <f>IF(ISBLANK(D93),"-",$D$101/$D$98*D93)</f>
        <v>57397312.462952636</v>
      </c>
      <c r="F93" s="273">
        <v>59736891</v>
      </c>
      <c r="G93" s="275">
        <f>IF(ISBLANK(F93),"-",$D$101/$F$98*F93)</f>
        <v>57388205.51916609</v>
      </c>
      <c r="I93" s="627"/>
    </row>
    <row r="94" spans="1:12" ht="27" customHeight="1" x14ac:dyDescent="0.4">
      <c r="A94" s="260" t="s">
        <v>66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67</v>
      </c>
      <c r="B95" s="261">
        <v>1</v>
      </c>
      <c r="C95" s="352" t="s">
        <v>68</v>
      </c>
      <c r="D95" s="353">
        <f>AVERAGE(D91:D94)</f>
        <v>62222517.666666664</v>
      </c>
      <c r="E95" s="284">
        <f>AVERAGE(E91:E94)</f>
        <v>57342784.341857046</v>
      </c>
      <c r="F95" s="354">
        <f>AVERAGE(F91:F94)</f>
        <v>59842160.333333336</v>
      </c>
      <c r="G95" s="355">
        <f>AVERAGE(G91:G94)</f>
        <v>57489335.960256487</v>
      </c>
    </row>
    <row r="96" spans="1:12" ht="26.25" customHeight="1" x14ac:dyDescent="0.4">
      <c r="A96" s="260" t="s">
        <v>69</v>
      </c>
      <c r="B96" s="246">
        <v>1</v>
      </c>
      <c r="C96" s="356" t="s">
        <v>110</v>
      </c>
      <c r="D96" s="357">
        <v>24.32</v>
      </c>
      <c r="E96" s="276"/>
      <c r="F96" s="288">
        <v>23.33</v>
      </c>
    </row>
    <row r="97" spans="1:10" ht="26.25" customHeight="1" x14ac:dyDescent="0.4">
      <c r="A97" s="260" t="s">
        <v>71</v>
      </c>
      <c r="B97" s="246">
        <v>1</v>
      </c>
      <c r="C97" s="358" t="s">
        <v>111</v>
      </c>
      <c r="D97" s="359">
        <f>D96*$B$87</f>
        <v>24.32</v>
      </c>
      <c r="E97" s="291"/>
      <c r="F97" s="290">
        <f>F96*$B$87</f>
        <v>23.33</v>
      </c>
    </row>
    <row r="98" spans="1:10" ht="19.5" customHeight="1" x14ac:dyDescent="0.3">
      <c r="A98" s="260" t="s">
        <v>73</v>
      </c>
      <c r="B98" s="360">
        <f>(B97/B96)*(B95/B94)*(B93/B92)*(B91/B90)*B89</f>
        <v>100</v>
      </c>
      <c r="C98" s="358" t="s">
        <v>112</v>
      </c>
      <c r="D98" s="361">
        <f>D97*$B$83/100</f>
        <v>24.11328</v>
      </c>
      <c r="E98" s="294"/>
      <c r="F98" s="293">
        <f>F97*$B$83/100</f>
        <v>23.131695000000001</v>
      </c>
    </row>
    <row r="99" spans="1:10" ht="19.5" customHeight="1" x14ac:dyDescent="0.3">
      <c r="A99" s="628" t="s">
        <v>75</v>
      </c>
      <c r="B99" s="642"/>
      <c r="C99" s="358" t="s">
        <v>113</v>
      </c>
      <c r="D99" s="362">
        <f>D98/$B$98</f>
        <v>0.24113280000000001</v>
      </c>
      <c r="E99" s="294"/>
      <c r="F99" s="297">
        <f>F98/$B$98</f>
        <v>0.23131694999999999</v>
      </c>
      <c r="G99" s="363"/>
      <c r="H99" s="286"/>
    </row>
    <row r="100" spans="1:10" ht="19.5" customHeight="1" x14ac:dyDescent="0.3">
      <c r="A100" s="630"/>
      <c r="B100" s="643"/>
      <c r="C100" s="358" t="s">
        <v>77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78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79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114</v>
      </c>
      <c r="D103" s="370">
        <f>AVERAGE(E91:E94,G91:G94)</f>
        <v>57416060.151056767</v>
      </c>
      <c r="F103" s="306"/>
      <c r="G103" s="371"/>
      <c r="H103" s="286"/>
      <c r="J103" s="372"/>
    </row>
    <row r="104" spans="1:10" ht="18.75" x14ac:dyDescent="0.3">
      <c r="C104" s="336" t="s">
        <v>81</v>
      </c>
      <c r="D104" s="373">
        <f>STDEV(E91:E94,G91:G94)/D103</f>
        <v>2.9000079384284864E-3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115</v>
      </c>
      <c r="B107" s="259">
        <v>900</v>
      </c>
      <c r="C107" s="375" t="s">
        <v>116</v>
      </c>
      <c r="D107" s="376" t="s">
        <v>60</v>
      </c>
      <c r="E107" s="377" t="s">
        <v>117</v>
      </c>
      <c r="F107" s="378" t="s">
        <v>118</v>
      </c>
    </row>
    <row r="108" spans="1:10" ht="26.25" customHeight="1" x14ac:dyDescent="0.4">
      <c r="A108" s="260" t="s">
        <v>119</v>
      </c>
      <c r="B108" s="261">
        <v>1</v>
      </c>
      <c r="C108" s="379">
        <v>1</v>
      </c>
      <c r="D108" s="380">
        <v>59658250</v>
      </c>
      <c r="E108" s="415">
        <f t="shared" ref="E108:E113" si="2">IF(ISBLANK(D108),"-",D108/$D$103*$D$100*$B$116)</f>
        <v>207.81032290632351</v>
      </c>
      <c r="F108" s="381">
        <f t="shared" ref="F108:F113" si="3">IF(ISBLANK(D108), "-", E108/$B$56)</f>
        <v>1.0390516145316175</v>
      </c>
    </row>
    <row r="109" spans="1:10" ht="26.25" customHeight="1" x14ac:dyDescent="0.4">
      <c r="A109" s="260" t="s">
        <v>92</v>
      </c>
      <c r="B109" s="261">
        <v>1</v>
      </c>
      <c r="C109" s="379">
        <v>2</v>
      </c>
      <c r="D109" s="380">
        <v>59216769</v>
      </c>
      <c r="E109" s="416">
        <f t="shared" si="2"/>
        <v>206.27249185752456</v>
      </c>
      <c r="F109" s="382">
        <f t="shared" si="3"/>
        <v>1.0313624592876227</v>
      </c>
    </row>
    <row r="110" spans="1:10" ht="26.25" customHeight="1" x14ac:dyDescent="0.4">
      <c r="A110" s="260" t="s">
        <v>93</v>
      </c>
      <c r="B110" s="261">
        <v>1</v>
      </c>
      <c r="C110" s="379">
        <v>3</v>
      </c>
      <c r="D110" s="380">
        <v>59626920</v>
      </c>
      <c r="E110" s="416">
        <f t="shared" si="2"/>
        <v>207.70118967803307</v>
      </c>
      <c r="F110" s="382">
        <f t="shared" si="3"/>
        <v>1.0385059483901653</v>
      </c>
    </row>
    <row r="111" spans="1:10" ht="26.25" customHeight="1" x14ac:dyDescent="0.4">
      <c r="A111" s="260" t="s">
        <v>94</v>
      </c>
      <c r="B111" s="261">
        <v>1</v>
      </c>
      <c r="C111" s="379">
        <v>4</v>
      </c>
      <c r="D111" s="380">
        <v>59156856</v>
      </c>
      <c r="E111" s="416">
        <f t="shared" si="2"/>
        <v>206.06379415224015</v>
      </c>
      <c r="F111" s="382">
        <f t="shared" si="3"/>
        <v>1.0303189707612008</v>
      </c>
    </row>
    <row r="112" spans="1:10" ht="26.25" customHeight="1" x14ac:dyDescent="0.4">
      <c r="A112" s="260" t="s">
        <v>95</v>
      </c>
      <c r="B112" s="261">
        <v>1</v>
      </c>
      <c r="C112" s="379">
        <v>5</v>
      </c>
      <c r="D112" s="380">
        <v>57200401</v>
      </c>
      <c r="E112" s="416">
        <f t="shared" si="2"/>
        <v>199.24878457181009</v>
      </c>
      <c r="F112" s="382">
        <f t="shared" si="3"/>
        <v>0.9962439228590505</v>
      </c>
    </row>
    <row r="113" spans="1:10" ht="26.25" customHeight="1" x14ac:dyDescent="0.4">
      <c r="A113" s="260" t="s">
        <v>97</v>
      </c>
      <c r="B113" s="261">
        <v>1</v>
      </c>
      <c r="C113" s="383">
        <v>6</v>
      </c>
      <c r="D113" s="384">
        <v>59844033</v>
      </c>
      <c r="E113" s="417">
        <f t="shared" si="2"/>
        <v>208.45746936503633</v>
      </c>
      <c r="F113" s="385">
        <f t="shared" si="3"/>
        <v>1.0422873468251816</v>
      </c>
    </row>
    <row r="114" spans="1:10" ht="26.25" customHeight="1" x14ac:dyDescent="0.4">
      <c r="A114" s="260" t="s">
        <v>98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99</v>
      </c>
      <c r="B115" s="261">
        <v>1</v>
      </c>
      <c r="C115" s="379"/>
      <c r="D115" s="387"/>
      <c r="E115" s="388" t="s">
        <v>68</v>
      </c>
      <c r="F115" s="389">
        <f>AVERAGE(F108:F113)</f>
        <v>1.0296283771091397</v>
      </c>
    </row>
    <row r="116" spans="1:10" ht="27" customHeight="1" x14ac:dyDescent="0.4">
      <c r="A116" s="260" t="s">
        <v>100</v>
      </c>
      <c r="B116" s="292">
        <f>(B115/B114)*(B113/B112)*(B111/B110)*(B109/B108)*B107</f>
        <v>900</v>
      </c>
      <c r="C116" s="390"/>
      <c r="D116" s="391"/>
      <c r="E116" s="352" t="s">
        <v>81</v>
      </c>
      <c r="F116" s="392">
        <f>STDEV(F108:F113)/F115</f>
        <v>1.6515746451874706E-2</v>
      </c>
      <c r="I116" s="234"/>
    </row>
    <row r="117" spans="1:10" ht="27" customHeight="1" x14ac:dyDescent="0.4">
      <c r="A117" s="628" t="s">
        <v>75</v>
      </c>
      <c r="B117" s="629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30"/>
      <c r="B118" s="631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103</v>
      </c>
      <c r="B120" s="340" t="s">
        <v>120</v>
      </c>
      <c r="C120" s="640" t="str">
        <f>B20</f>
        <v xml:space="preserve">Each film coated tablet contains:
Lamivudine USP 150mg 
Zidovudine USP 300mg
 Nevirapine USP 200mg </v>
      </c>
      <c r="D120" s="640"/>
      <c r="E120" s="341" t="s">
        <v>121</v>
      </c>
      <c r="F120" s="341"/>
      <c r="G120" s="342">
        <f>F115</f>
        <v>1.0296283771091397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41" t="s">
        <v>23</v>
      </c>
      <c r="C122" s="641"/>
      <c r="E122" s="347" t="s">
        <v>24</v>
      </c>
      <c r="F122" s="399"/>
      <c r="G122" s="641" t="s">
        <v>25</v>
      </c>
      <c r="H122" s="641"/>
    </row>
    <row r="123" spans="1:10" ht="69.95" customHeight="1" x14ac:dyDescent="0.3">
      <c r="A123" s="400" t="s">
        <v>26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418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420" t="s">
        <v>30</v>
      </c>
      <c r="B18" s="610" t="s">
        <v>5</v>
      </c>
      <c r="C18" s="610"/>
      <c r="D18" s="590"/>
      <c r="E18" s="421"/>
      <c r="F18" s="422"/>
      <c r="G18" s="422"/>
      <c r="H18" s="422"/>
    </row>
    <row r="19" spans="1:14" ht="26.25" customHeight="1" x14ac:dyDescent="0.4">
      <c r="A19" s="420" t="s">
        <v>31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32</v>
      </c>
      <c r="B20" s="615" t="s">
        <v>9</v>
      </c>
      <c r="C20" s="615"/>
      <c r="D20" s="422"/>
      <c r="E20" s="422"/>
      <c r="F20" s="422"/>
      <c r="G20" s="422"/>
      <c r="H20" s="422"/>
    </row>
    <row r="21" spans="1:14" ht="26.25" customHeight="1" x14ac:dyDescent="0.4">
      <c r="A21" s="420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424"/>
    </row>
    <row r="22" spans="1:14" ht="26.25" customHeight="1" x14ac:dyDescent="0.4">
      <c r="A22" s="420" t="s">
        <v>34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35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10" t="s">
        <v>126</v>
      </c>
      <c r="C26" s="610"/>
    </row>
    <row r="27" spans="1:14" ht="26.25" customHeight="1" x14ac:dyDescent="0.4">
      <c r="A27" s="429" t="s">
        <v>45</v>
      </c>
      <c r="B27" s="616" t="s">
        <v>127</v>
      </c>
      <c r="C27" s="616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46</v>
      </c>
      <c r="B29" s="431"/>
      <c r="C29" s="617" t="s">
        <v>47</v>
      </c>
      <c r="D29" s="618"/>
      <c r="E29" s="618"/>
      <c r="F29" s="618"/>
      <c r="G29" s="619"/>
      <c r="I29" s="432"/>
      <c r="J29" s="432"/>
      <c r="K29" s="432"/>
      <c r="L29" s="432"/>
    </row>
    <row r="30" spans="1:14" s="3" customFormat="1" ht="19.5" customHeight="1" x14ac:dyDescent="0.3">
      <c r="A30" s="429" t="s">
        <v>48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49</v>
      </c>
      <c r="B31" s="436">
        <v>1</v>
      </c>
      <c r="C31" s="620" t="s">
        <v>50</v>
      </c>
      <c r="D31" s="621"/>
      <c r="E31" s="621"/>
      <c r="F31" s="621"/>
      <c r="G31" s="621"/>
      <c r="H31" s="622"/>
      <c r="I31" s="432"/>
      <c r="J31" s="432"/>
      <c r="K31" s="432"/>
      <c r="L31" s="432"/>
    </row>
    <row r="32" spans="1:14" s="3" customFormat="1" ht="27" customHeight="1" x14ac:dyDescent="0.4">
      <c r="A32" s="429" t="s">
        <v>51</v>
      </c>
      <c r="B32" s="436">
        <v>1</v>
      </c>
      <c r="C32" s="620" t="s">
        <v>52</v>
      </c>
      <c r="D32" s="621"/>
      <c r="E32" s="621"/>
      <c r="F32" s="621"/>
      <c r="G32" s="621"/>
      <c r="H32" s="622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53</v>
      </c>
      <c r="B34" s="441">
        <f>B31/B32</f>
        <v>1</v>
      </c>
      <c r="C34" s="419" t="s">
        <v>54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55</v>
      </c>
      <c r="B36" s="443">
        <v>50</v>
      </c>
      <c r="C36" s="419"/>
      <c r="D36" s="623" t="s">
        <v>56</v>
      </c>
      <c r="E36" s="624"/>
      <c r="F36" s="623" t="s">
        <v>57</v>
      </c>
      <c r="G36" s="625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58</v>
      </c>
      <c r="B37" s="445">
        <v>5</v>
      </c>
      <c r="C37" s="446" t="s">
        <v>59</v>
      </c>
      <c r="D37" s="447" t="s">
        <v>60</v>
      </c>
      <c r="E37" s="448" t="s">
        <v>61</v>
      </c>
      <c r="F37" s="447" t="s">
        <v>60</v>
      </c>
      <c r="G37" s="449" t="s">
        <v>61</v>
      </c>
      <c r="I37" s="450" t="s">
        <v>62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63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64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7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65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7"/>
      <c r="L40" s="437"/>
      <c r="M40" s="437"/>
      <c r="N40" s="460"/>
    </row>
    <row r="41" spans="1:14" ht="27" customHeight="1" x14ac:dyDescent="0.4">
      <c r="A41" s="444" t="s">
        <v>66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67</v>
      </c>
      <c r="B42" s="445">
        <v>1</v>
      </c>
      <c r="C42" s="466" t="s">
        <v>68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69</v>
      </c>
      <c r="B43" s="445">
        <v>1</v>
      </c>
      <c r="C43" s="471" t="s">
        <v>70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71</v>
      </c>
      <c r="B44" s="445">
        <v>1</v>
      </c>
      <c r="C44" s="473" t="s">
        <v>72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73</v>
      </c>
      <c r="B45" s="476">
        <f>(B44/B43)*(B42/B41)*(B40/B39)*(B38/B37)*B36</f>
        <v>100</v>
      </c>
      <c r="C45" s="473" t="s">
        <v>74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28" t="s">
        <v>75</v>
      </c>
      <c r="B46" s="629"/>
      <c r="C46" s="473" t="s">
        <v>76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30"/>
      <c r="B47" s="631"/>
      <c r="C47" s="482" t="s">
        <v>77</v>
      </c>
      <c r="D47" s="483">
        <v>0.3</v>
      </c>
      <c r="E47" s="484"/>
      <c r="F47" s="480"/>
      <c r="H47" s="470"/>
    </row>
    <row r="48" spans="1:14" ht="18.75" x14ac:dyDescent="0.3">
      <c r="C48" s="485" t="s">
        <v>78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79</v>
      </c>
      <c r="D49" s="488">
        <f>D48/B34</f>
        <v>30</v>
      </c>
      <c r="F49" s="486"/>
      <c r="H49" s="470"/>
    </row>
    <row r="50" spans="1:12" ht="18.75" x14ac:dyDescent="0.3">
      <c r="C50" s="442" t="s">
        <v>80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81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82</v>
      </c>
    </row>
    <row r="55" spans="1:12" ht="18.75" x14ac:dyDescent="0.3">
      <c r="A55" s="419" t="s">
        <v>83</v>
      </c>
      <c r="B55" s="496" t="str">
        <f>B21</f>
        <v xml:space="preserve">Lamivudine 150mg + Zidovudine 300mg + Nevirapine 200mg </v>
      </c>
    </row>
    <row r="56" spans="1:12" ht="26.25" customHeight="1" x14ac:dyDescent="0.4">
      <c r="A56" s="497" t="s">
        <v>84</v>
      </c>
      <c r="B56" s="498">
        <v>300</v>
      </c>
      <c r="C56" s="419" t="str">
        <f>B20</f>
        <v xml:space="preserve">Each film coated tablet contains:
Lamivudine USP 150mg 
Zidovudine USP 300mg
 Nevirapine USP 200mg </v>
      </c>
      <c r="H56" s="499"/>
    </row>
    <row r="57" spans="1:12" ht="18.75" x14ac:dyDescent="0.3">
      <c r="A57" s="496" t="s">
        <v>85</v>
      </c>
      <c r="B57" s="591">
        <f>Uniformity!C46</f>
        <v>1226.7789999999998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86</v>
      </c>
      <c r="B59" s="443">
        <v>100</v>
      </c>
      <c r="C59" s="419"/>
      <c r="D59" s="500" t="s">
        <v>87</v>
      </c>
      <c r="E59" s="501" t="s">
        <v>59</v>
      </c>
      <c r="F59" s="501" t="s">
        <v>60</v>
      </c>
      <c r="G59" s="501" t="s">
        <v>88</v>
      </c>
      <c r="H59" s="446" t="s">
        <v>89</v>
      </c>
      <c r="L59" s="432"/>
    </row>
    <row r="60" spans="1:12" s="3" customFormat="1" ht="26.25" customHeight="1" x14ac:dyDescent="0.4">
      <c r="A60" s="444" t="s">
        <v>90</v>
      </c>
      <c r="B60" s="445">
        <v>5</v>
      </c>
      <c r="C60" s="632" t="s">
        <v>91</v>
      </c>
      <c r="D60" s="635">
        <v>967.25</v>
      </c>
      <c r="E60" s="502">
        <v>1</v>
      </c>
      <c r="F60" s="503">
        <v>78878043</v>
      </c>
      <c r="G60" s="593">
        <f>IF(ISBLANK(F60),"-",(F60/$D$50*$D$47*$B$68)*($B$57/$D$60))</f>
        <v>288.29903903994756</v>
      </c>
      <c r="H60" s="504">
        <f t="shared" ref="H60:H71" si="0">IF(ISBLANK(F60),"-",G60/$B$56)</f>
        <v>0.96099679679982519</v>
      </c>
      <c r="L60" s="432"/>
    </row>
    <row r="61" spans="1:12" s="3" customFormat="1" ht="26.25" customHeight="1" x14ac:dyDescent="0.4">
      <c r="A61" s="444" t="s">
        <v>92</v>
      </c>
      <c r="B61" s="445">
        <v>50</v>
      </c>
      <c r="C61" s="633"/>
      <c r="D61" s="636"/>
      <c r="E61" s="505">
        <v>2</v>
      </c>
      <c r="F61" s="457">
        <v>78628134</v>
      </c>
      <c r="G61" s="594">
        <f>IF(ISBLANK(F61),"-",(F61/$D$50*$D$47*$B$68)*($B$57/$D$60))</f>
        <v>287.38562230434934</v>
      </c>
      <c r="H61" s="506">
        <f t="shared" si="0"/>
        <v>0.95795207434783114</v>
      </c>
      <c r="L61" s="432"/>
    </row>
    <row r="62" spans="1:12" s="3" customFormat="1" ht="26.25" customHeight="1" x14ac:dyDescent="0.4">
      <c r="A62" s="444" t="s">
        <v>93</v>
      </c>
      <c r="B62" s="445">
        <v>1</v>
      </c>
      <c r="C62" s="633"/>
      <c r="D62" s="636"/>
      <c r="E62" s="505">
        <v>3</v>
      </c>
      <c r="F62" s="507">
        <v>78418814</v>
      </c>
      <c r="G62" s="594">
        <f>IF(ISBLANK(F62),"-",(F62/$D$50*$D$47*$B$68)*($B$57/$D$60))</f>
        <v>286.62055825665431</v>
      </c>
      <c r="H62" s="506">
        <f t="shared" si="0"/>
        <v>0.95540186085551437</v>
      </c>
      <c r="L62" s="432"/>
    </row>
    <row r="63" spans="1:12" ht="27" customHeight="1" x14ac:dyDescent="0.4">
      <c r="A63" s="444" t="s">
        <v>94</v>
      </c>
      <c r="B63" s="445">
        <v>1</v>
      </c>
      <c r="C63" s="634"/>
      <c r="D63" s="637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95</v>
      </c>
      <c r="B64" s="445">
        <v>1</v>
      </c>
      <c r="C64" s="632" t="s">
        <v>96</v>
      </c>
      <c r="D64" s="635">
        <v>902.09</v>
      </c>
      <c r="E64" s="502">
        <v>1</v>
      </c>
      <c r="F64" s="503">
        <v>75635281</v>
      </c>
      <c r="G64" s="595">
        <f>IF(ISBLANK(F64),"-",(F64/$D$50*$D$47*$B$68)*($B$57/$D$64))</f>
        <v>296.41512636463273</v>
      </c>
      <c r="H64" s="510">
        <f t="shared" si="0"/>
        <v>0.9880504212154424</v>
      </c>
    </row>
    <row r="65" spans="1:8" ht="26.25" customHeight="1" x14ac:dyDescent="0.4">
      <c r="A65" s="444" t="s">
        <v>97</v>
      </c>
      <c r="B65" s="445">
        <v>1</v>
      </c>
      <c r="C65" s="633"/>
      <c r="D65" s="636"/>
      <c r="E65" s="505">
        <v>2</v>
      </c>
      <c r="F65" s="457">
        <v>75583839</v>
      </c>
      <c r="G65" s="596">
        <f>IF(ISBLANK(F65),"-",(F65/$D$50*$D$47*$B$68)*($B$57/$D$64))</f>
        <v>296.21352485368641</v>
      </c>
      <c r="H65" s="511">
        <f t="shared" si="0"/>
        <v>0.98737841617895472</v>
      </c>
    </row>
    <row r="66" spans="1:8" ht="26.25" customHeight="1" x14ac:dyDescent="0.4">
      <c r="A66" s="444" t="s">
        <v>98</v>
      </c>
      <c r="B66" s="445">
        <v>1</v>
      </c>
      <c r="C66" s="633"/>
      <c r="D66" s="636"/>
      <c r="E66" s="505">
        <v>3</v>
      </c>
      <c r="F66" s="457">
        <v>75462891</v>
      </c>
      <c r="G66" s="596">
        <f>IF(ISBLANK(F66),"-",(F66/$D$50*$D$47*$B$68)*($B$57/$D$64))</f>
        <v>295.73952890590175</v>
      </c>
      <c r="H66" s="511">
        <f t="shared" si="0"/>
        <v>0.98579842968633913</v>
      </c>
    </row>
    <row r="67" spans="1:8" ht="27" customHeight="1" x14ac:dyDescent="0.4">
      <c r="A67" s="444" t="s">
        <v>99</v>
      </c>
      <c r="B67" s="445">
        <v>1</v>
      </c>
      <c r="C67" s="634"/>
      <c r="D67" s="637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100</v>
      </c>
      <c r="B68" s="513">
        <f>(B67/B66)*(B65/B64)*(B63/B62)*(B61/B60)*B59</f>
        <v>1000</v>
      </c>
      <c r="C68" s="632" t="s">
        <v>101</v>
      </c>
      <c r="D68" s="635">
        <v>893.3</v>
      </c>
      <c r="E68" s="502">
        <v>1</v>
      </c>
      <c r="F68" s="503">
        <v>75519666</v>
      </c>
      <c r="G68" s="595">
        <f>IF(ISBLANK(F68),"-",(F68/$D$50*$D$47*$B$68)*($B$57/$D$68))</f>
        <v>298.87427300163182</v>
      </c>
      <c r="H68" s="506">
        <f t="shared" si="0"/>
        <v>0.99624757667210606</v>
      </c>
    </row>
    <row r="69" spans="1:8" ht="27" customHeight="1" x14ac:dyDescent="0.4">
      <c r="A69" s="492" t="s">
        <v>102</v>
      </c>
      <c r="B69" s="514">
        <f>(D47*B68)/B56*B57</f>
        <v>1226.7789999999998</v>
      </c>
      <c r="C69" s="633"/>
      <c r="D69" s="636"/>
      <c r="E69" s="505">
        <v>2</v>
      </c>
      <c r="F69" s="457">
        <v>75758164</v>
      </c>
      <c r="G69" s="596">
        <f>IF(ISBLANK(F69),"-",(F69/$D$50*$D$47*$B$68)*($B$57/$D$68))</f>
        <v>299.81814524230543</v>
      </c>
      <c r="H69" s="506">
        <f t="shared" si="0"/>
        <v>0.99939381747435141</v>
      </c>
    </row>
    <row r="70" spans="1:8" ht="26.25" customHeight="1" x14ac:dyDescent="0.4">
      <c r="A70" s="645" t="s">
        <v>75</v>
      </c>
      <c r="B70" s="646"/>
      <c r="C70" s="633"/>
      <c r="D70" s="636"/>
      <c r="E70" s="505">
        <v>3</v>
      </c>
      <c r="F70" s="457">
        <v>75703788</v>
      </c>
      <c r="G70" s="596">
        <f>IF(ISBLANK(F70),"-",(F70/$D$50*$D$47*$B$68)*($B$57/$D$68))</f>
        <v>299.60294848191808</v>
      </c>
      <c r="H70" s="506">
        <f t="shared" si="0"/>
        <v>0.99867649493972688</v>
      </c>
    </row>
    <row r="71" spans="1:8" ht="27" customHeight="1" x14ac:dyDescent="0.4">
      <c r="A71" s="647"/>
      <c r="B71" s="648"/>
      <c r="C71" s="644"/>
      <c r="D71" s="637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68</v>
      </c>
      <c r="H72" s="519">
        <f>AVERAGE(H60:H71)</f>
        <v>0.98109954313001013</v>
      </c>
    </row>
    <row r="73" spans="1:8" ht="26.25" customHeight="1" x14ac:dyDescent="0.4">
      <c r="C73" s="516"/>
      <c r="D73" s="516"/>
      <c r="E73" s="516"/>
      <c r="F73" s="517"/>
      <c r="G73" s="520" t="s">
        <v>81</v>
      </c>
      <c r="H73" s="598">
        <f>STDEV(H60:H71)/H72</f>
        <v>1.8315618853379838E-2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103</v>
      </c>
      <c r="B76" s="524" t="s">
        <v>104</v>
      </c>
      <c r="C76" s="640" t="str">
        <f>B20</f>
        <v xml:space="preserve">Each film coated tablet contains:
Lamivudine USP 150mg 
Zidovudine USP 300mg
 Nevirapine USP 200mg </v>
      </c>
      <c r="D76" s="640"/>
      <c r="E76" s="525" t="s">
        <v>105</v>
      </c>
      <c r="F76" s="525"/>
      <c r="G76" s="526">
        <f>H72</f>
        <v>0.98109954313001013</v>
      </c>
      <c r="H76" s="527"/>
    </row>
    <row r="77" spans="1:8" ht="18.75" x14ac:dyDescent="0.3">
      <c r="A77" s="427" t="s">
        <v>106</v>
      </c>
      <c r="B77" s="427" t="s">
        <v>107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26" t="str">
        <f>B26</f>
        <v>Zidovudine</v>
      </c>
      <c r="C79" s="626"/>
    </row>
    <row r="80" spans="1:8" ht="26.25" customHeight="1" x14ac:dyDescent="0.4">
      <c r="A80" s="429" t="s">
        <v>45</v>
      </c>
      <c r="B80" s="626" t="str">
        <f>B27</f>
        <v>NQCL-WRS-Z1-1</v>
      </c>
      <c r="C80" s="626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46</v>
      </c>
      <c r="B82" s="431">
        <v>0</v>
      </c>
      <c r="C82" s="617" t="s">
        <v>47</v>
      </c>
      <c r="D82" s="618"/>
      <c r="E82" s="618"/>
      <c r="F82" s="618"/>
      <c r="G82" s="619"/>
      <c r="I82" s="432"/>
      <c r="J82" s="432"/>
      <c r="K82" s="432"/>
      <c r="L82" s="432"/>
    </row>
    <row r="83" spans="1:12" s="3" customFormat="1" ht="19.5" customHeight="1" x14ac:dyDescent="0.3">
      <c r="A83" s="429" t="s">
        <v>48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49</v>
      </c>
      <c r="B84" s="436">
        <v>1</v>
      </c>
      <c r="C84" s="620" t="s">
        <v>108</v>
      </c>
      <c r="D84" s="621"/>
      <c r="E84" s="621"/>
      <c r="F84" s="621"/>
      <c r="G84" s="621"/>
      <c r="H84" s="622"/>
      <c r="I84" s="432"/>
      <c r="J84" s="432"/>
      <c r="K84" s="432"/>
      <c r="L84" s="432"/>
    </row>
    <row r="85" spans="1:12" s="3" customFormat="1" ht="27" customHeight="1" x14ac:dyDescent="0.4">
      <c r="A85" s="429" t="s">
        <v>51</v>
      </c>
      <c r="B85" s="436">
        <v>1</v>
      </c>
      <c r="C85" s="620" t="s">
        <v>109</v>
      </c>
      <c r="D85" s="621"/>
      <c r="E85" s="621"/>
      <c r="F85" s="621"/>
      <c r="G85" s="621"/>
      <c r="H85" s="622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53</v>
      </c>
      <c r="B87" s="441">
        <f>B84/B85</f>
        <v>1</v>
      </c>
      <c r="C87" s="419" t="s">
        <v>54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55</v>
      </c>
      <c r="B89" s="443">
        <v>50</v>
      </c>
      <c r="D89" s="529" t="s">
        <v>56</v>
      </c>
      <c r="E89" s="530"/>
      <c r="F89" s="623" t="s">
        <v>57</v>
      </c>
      <c r="G89" s="625"/>
    </row>
    <row r="90" spans="1:12" ht="27" customHeight="1" x14ac:dyDescent="0.4">
      <c r="A90" s="444" t="s">
        <v>58</v>
      </c>
      <c r="B90" s="445">
        <v>5</v>
      </c>
      <c r="C90" s="531" t="s">
        <v>59</v>
      </c>
      <c r="D90" s="447" t="s">
        <v>60</v>
      </c>
      <c r="E90" s="448" t="s">
        <v>61</v>
      </c>
      <c r="F90" s="447" t="s">
        <v>60</v>
      </c>
      <c r="G90" s="532" t="s">
        <v>61</v>
      </c>
      <c r="I90" s="450" t="s">
        <v>62</v>
      </c>
    </row>
    <row r="91" spans="1:12" ht="26.25" customHeight="1" x14ac:dyDescent="0.4">
      <c r="A91" s="444" t="s">
        <v>63</v>
      </c>
      <c r="B91" s="445">
        <v>10</v>
      </c>
      <c r="C91" s="533">
        <v>1</v>
      </c>
      <c r="D91" s="452">
        <v>105700127</v>
      </c>
      <c r="E91" s="453">
        <f>IF(ISBLANK(D91),"-",$D$101/$D$98*D91)</f>
        <v>115437133.79879451</v>
      </c>
      <c r="F91" s="452">
        <v>100996159</v>
      </c>
      <c r="G91" s="454">
        <f>IF(ISBLANK(F91),"-",$D$101/$F$98*F91)</f>
        <v>116897355.58865842</v>
      </c>
      <c r="I91" s="455"/>
    </row>
    <row r="92" spans="1:12" ht="26.25" customHeight="1" x14ac:dyDescent="0.4">
      <c r="A92" s="444" t="s">
        <v>64</v>
      </c>
      <c r="B92" s="445">
        <v>1</v>
      </c>
      <c r="C92" s="517">
        <v>2</v>
      </c>
      <c r="D92" s="457">
        <v>106184688</v>
      </c>
      <c r="E92" s="458">
        <f>IF(ISBLANK(D92),"-",$D$101/$D$98*D92)</f>
        <v>115966332.15056828</v>
      </c>
      <c r="F92" s="457">
        <v>100215300</v>
      </c>
      <c r="G92" s="459">
        <f>IF(ISBLANK(F92),"-",$D$101/$F$98*F92)</f>
        <v>115993555.35416035</v>
      </c>
      <c r="I92" s="627">
        <f>ABS((F96/D96*D95)-F95)/D95</f>
        <v>5.1802338913339617E-3</v>
      </c>
    </row>
    <row r="93" spans="1:12" ht="26.25" customHeight="1" x14ac:dyDescent="0.4">
      <c r="A93" s="444" t="s">
        <v>65</v>
      </c>
      <c r="B93" s="445">
        <v>1</v>
      </c>
      <c r="C93" s="517">
        <v>3</v>
      </c>
      <c r="D93" s="457">
        <v>105841680</v>
      </c>
      <c r="E93" s="458">
        <f>IF(ISBLANK(D93),"-",$D$101/$D$98*D93)</f>
        <v>115591726.54209955</v>
      </c>
      <c r="F93" s="457">
        <v>100228916</v>
      </c>
      <c r="G93" s="459">
        <f>IF(ISBLANK(F93),"-",$D$101/$F$98*F93)</f>
        <v>116009315.10591185</v>
      </c>
      <c r="I93" s="627"/>
    </row>
    <row r="94" spans="1:12" ht="27" customHeight="1" x14ac:dyDescent="0.4">
      <c r="A94" s="444" t="s">
        <v>66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67</v>
      </c>
      <c r="B95" s="445">
        <v>1</v>
      </c>
      <c r="C95" s="536" t="s">
        <v>68</v>
      </c>
      <c r="D95" s="537">
        <f>AVERAGE(D91:D94)</f>
        <v>105908831.66666667</v>
      </c>
      <c r="E95" s="468">
        <f>AVERAGE(E91:E94)</f>
        <v>115665064.16382079</v>
      </c>
      <c r="F95" s="538">
        <f>AVERAGE(F91:F94)</f>
        <v>100480125</v>
      </c>
      <c r="G95" s="539">
        <f>AVERAGE(G91:G94)</f>
        <v>116300075.34957688</v>
      </c>
    </row>
    <row r="96" spans="1:12" ht="26.25" customHeight="1" x14ac:dyDescent="0.4">
      <c r="A96" s="444" t="s">
        <v>69</v>
      </c>
      <c r="B96" s="430">
        <v>1</v>
      </c>
      <c r="C96" s="540" t="s">
        <v>110</v>
      </c>
      <c r="D96" s="541">
        <v>30.83</v>
      </c>
      <c r="E96" s="460"/>
      <c r="F96" s="472">
        <v>29.09</v>
      </c>
    </row>
    <row r="97" spans="1:10" ht="26.25" customHeight="1" x14ac:dyDescent="0.4">
      <c r="A97" s="444" t="s">
        <v>71</v>
      </c>
      <c r="B97" s="430">
        <v>1</v>
      </c>
      <c r="C97" s="542" t="s">
        <v>111</v>
      </c>
      <c r="D97" s="543">
        <f>D96*$B$87</f>
        <v>30.83</v>
      </c>
      <c r="E97" s="475"/>
      <c r="F97" s="474">
        <f>F96*$B$87</f>
        <v>29.09</v>
      </c>
    </row>
    <row r="98" spans="1:10" ht="19.5" customHeight="1" x14ac:dyDescent="0.3">
      <c r="A98" s="444" t="s">
        <v>73</v>
      </c>
      <c r="B98" s="544">
        <f>(B97/B96)*(B95/B94)*(B93/B92)*(B91/B90)*B89</f>
        <v>100</v>
      </c>
      <c r="C98" s="542" t="s">
        <v>112</v>
      </c>
      <c r="D98" s="545">
        <f>D97*$B$83/100</f>
        <v>30.521699999999996</v>
      </c>
      <c r="E98" s="478"/>
      <c r="F98" s="477">
        <f>F97*$B$83/100</f>
        <v>28.799099999999999</v>
      </c>
    </row>
    <row r="99" spans="1:10" ht="19.5" customHeight="1" x14ac:dyDescent="0.3">
      <c r="A99" s="628" t="s">
        <v>75</v>
      </c>
      <c r="B99" s="642"/>
      <c r="C99" s="542" t="s">
        <v>113</v>
      </c>
      <c r="D99" s="546">
        <f>D98/$B$98</f>
        <v>0.30521699999999996</v>
      </c>
      <c r="E99" s="478"/>
      <c r="F99" s="481">
        <f>F98/$B$98</f>
        <v>0.287991</v>
      </c>
      <c r="G99" s="547"/>
      <c r="H99" s="470"/>
    </row>
    <row r="100" spans="1:10" ht="19.5" customHeight="1" x14ac:dyDescent="0.3">
      <c r="A100" s="630"/>
      <c r="B100" s="643"/>
      <c r="C100" s="542" t="s">
        <v>77</v>
      </c>
      <c r="D100" s="548">
        <f>$B$56/$B$116</f>
        <v>0.33333333333333331</v>
      </c>
      <c r="F100" s="486"/>
      <c r="G100" s="549"/>
      <c r="H100" s="470"/>
    </row>
    <row r="101" spans="1:10" ht="18.75" x14ac:dyDescent="0.3">
      <c r="C101" s="542" t="s">
        <v>78</v>
      </c>
      <c r="D101" s="543">
        <f>D100*$B$98</f>
        <v>33.333333333333329</v>
      </c>
      <c r="F101" s="486"/>
      <c r="G101" s="547"/>
      <c r="H101" s="470"/>
    </row>
    <row r="102" spans="1:10" ht="19.5" customHeight="1" x14ac:dyDescent="0.3">
      <c r="C102" s="550" t="s">
        <v>79</v>
      </c>
      <c r="D102" s="551">
        <f>D101/B34</f>
        <v>33.333333333333329</v>
      </c>
      <c r="F102" s="490"/>
      <c r="G102" s="547"/>
      <c r="H102" s="470"/>
      <c r="J102" s="552"/>
    </row>
    <row r="103" spans="1:10" ht="18.75" x14ac:dyDescent="0.3">
      <c r="C103" s="553" t="s">
        <v>114</v>
      </c>
      <c r="D103" s="554">
        <f>AVERAGE(E91:E94,G91:G94)</f>
        <v>115982569.75669883</v>
      </c>
      <c r="F103" s="490"/>
      <c r="G103" s="555"/>
      <c r="H103" s="470"/>
      <c r="J103" s="556"/>
    </row>
    <row r="104" spans="1:10" ht="18.75" x14ac:dyDescent="0.3">
      <c r="C104" s="520" t="s">
        <v>81</v>
      </c>
      <c r="D104" s="557">
        <f>STDEV(E91:E94,G91:G94)/D103</f>
        <v>4.3763545453498328E-3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115</v>
      </c>
      <c r="B107" s="443">
        <v>900</v>
      </c>
      <c r="C107" s="559" t="s">
        <v>116</v>
      </c>
      <c r="D107" s="560" t="s">
        <v>60</v>
      </c>
      <c r="E107" s="561" t="s">
        <v>117</v>
      </c>
      <c r="F107" s="562" t="s">
        <v>118</v>
      </c>
    </row>
    <row r="108" spans="1:10" ht="26.25" customHeight="1" x14ac:dyDescent="0.4">
      <c r="A108" s="444" t="s">
        <v>119</v>
      </c>
      <c r="B108" s="445">
        <v>1</v>
      </c>
      <c r="C108" s="563">
        <v>1</v>
      </c>
      <c r="D108" s="564">
        <v>121667087</v>
      </c>
      <c r="E108" s="599">
        <f t="shared" ref="E108:E113" si="1">IF(ISBLANK(D108),"-",D108/$D$103*$D$100*$B$116)</f>
        <v>314.70354706373331</v>
      </c>
      <c r="F108" s="565">
        <f t="shared" ref="F108:F113" si="2">IF(ISBLANK(D108), "-", E108/$B$56)</f>
        <v>1.0490118235457777</v>
      </c>
    </row>
    <row r="109" spans="1:10" ht="26.25" customHeight="1" x14ac:dyDescent="0.4">
      <c r="A109" s="444" t="s">
        <v>92</v>
      </c>
      <c r="B109" s="445">
        <v>1</v>
      </c>
      <c r="C109" s="563">
        <v>2</v>
      </c>
      <c r="D109" s="564">
        <v>121220783</v>
      </c>
      <c r="E109" s="600">
        <f t="shared" si="1"/>
        <v>313.54913911880783</v>
      </c>
      <c r="F109" s="566">
        <f t="shared" si="2"/>
        <v>1.0451637970626928</v>
      </c>
    </row>
    <row r="110" spans="1:10" ht="26.25" customHeight="1" x14ac:dyDescent="0.4">
      <c r="A110" s="444" t="s">
        <v>93</v>
      </c>
      <c r="B110" s="445">
        <v>1</v>
      </c>
      <c r="C110" s="563">
        <v>3</v>
      </c>
      <c r="D110" s="564">
        <v>119567167</v>
      </c>
      <c r="E110" s="600">
        <f t="shared" si="1"/>
        <v>309.27190331483609</v>
      </c>
      <c r="F110" s="566">
        <f t="shared" si="2"/>
        <v>1.0309063443827871</v>
      </c>
    </row>
    <row r="111" spans="1:10" ht="26.25" customHeight="1" x14ac:dyDescent="0.4">
      <c r="A111" s="444" t="s">
        <v>94</v>
      </c>
      <c r="B111" s="445">
        <v>1</v>
      </c>
      <c r="C111" s="563">
        <v>4</v>
      </c>
      <c r="D111" s="564">
        <v>117887598</v>
      </c>
      <c r="E111" s="600">
        <f t="shared" si="1"/>
        <v>304.92753759628903</v>
      </c>
      <c r="F111" s="566">
        <f t="shared" si="2"/>
        <v>1.0164251253209635</v>
      </c>
    </row>
    <row r="112" spans="1:10" ht="26.25" customHeight="1" x14ac:dyDescent="0.4">
      <c r="A112" s="444" t="s">
        <v>95</v>
      </c>
      <c r="B112" s="445">
        <v>1</v>
      </c>
      <c r="C112" s="563">
        <v>5</v>
      </c>
      <c r="D112" s="564">
        <v>121534035</v>
      </c>
      <c r="E112" s="600">
        <f t="shared" si="1"/>
        <v>314.35939535124982</v>
      </c>
      <c r="F112" s="566">
        <f t="shared" si="2"/>
        <v>1.0478646511708327</v>
      </c>
    </row>
    <row r="113" spans="1:10" ht="26.25" customHeight="1" x14ac:dyDescent="0.4">
      <c r="A113" s="444" t="s">
        <v>97</v>
      </c>
      <c r="B113" s="445">
        <v>1</v>
      </c>
      <c r="C113" s="567">
        <v>6</v>
      </c>
      <c r="D113" s="568">
        <v>118451443</v>
      </c>
      <c r="E113" s="601">
        <f t="shared" si="1"/>
        <v>306.38597656996274</v>
      </c>
      <c r="F113" s="569">
        <f t="shared" si="2"/>
        <v>1.0212865885665425</v>
      </c>
    </row>
    <row r="114" spans="1:10" ht="26.25" customHeight="1" x14ac:dyDescent="0.4">
      <c r="A114" s="444" t="s">
        <v>98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99</v>
      </c>
      <c r="B115" s="445">
        <v>1</v>
      </c>
      <c r="C115" s="563"/>
      <c r="D115" s="571"/>
      <c r="E115" s="572" t="s">
        <v>68</v>
      </c>
      <c r="F115" s="573">
        <f>AVERAGE(F108:F113)</f>
        <v>1.0351097216749325</v>
      </c>
    </row>
    <row r="116" spans="1:10" ht="27" customHeight="1" x14ac:dyDescent="0.4">
      <c r="A116" s="444" t="s">
        <v>100</v>
      </c>
      <c r="B116" s="476">
        <f>(B115/B114)*(B113/B112)*(B111/B110)*(B109/B108)*B107</f>
        <v>900</v>
      </c>
      <c r="C116" s="574"/>
      <c r="D116" s="575"/>
      <c r="E116" s="536" t="s">
        <v>81</v>
      </c>
      <c r="F116" s="576">
        <f>STDEV(F108:F113)/F115</f>
        <v>1.3763877488047109E-2</v>
      </c>
      <c r="I116" s="418"/>
    </row>
    <row r="117" spans="1:10" ht="27" customHeight="1" x14ac:dyDescent="0.4">
      <c r="A117" s="628" t="s">
        <v>75</v>
      </c>
      <c r="B117" s="629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30"/>
      <c r="B118" s="631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103</v>
      </c>
      <c r="B120" s="524" t="s">
        <v>120</v>
      </c>
      <c r="C120" s="640" t="str">
        <f>B20</f>
        <v xml:space="preserve">Each film coated tablet contains:
Lamivudine USP 150mg 
Zidovudine USP 300mg
 Nevirapine USP 200mg </v>
      </c>
      <c r="D120" s="640"/>
      <c r="E120" s="525" t="s">
        <v>121</v>
      </c>
      <c r="F120" s="525"/>
      <c r="G120" s="526">
        <f>F115</f>
        <v>1.0351097216749325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41" t="s">
        <v>23</v>
      </c>
      <c r="C122" s="641"/>
      <c r="E122" s="531" t="s">
        <v>24</v>
      </c>
      <c r="F122" s="583"/>
      <c r="G122" s="641" t="s">
        <v>25</v>
      </c>
      <c r="H122" s="641"/>
    </row>
    <row r="123" spans="1:10" ht="69.95" customHeight="1" x14ac:dyDescent="0.3">
      <c r="A123" s="584" t="s">
        <v>26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27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2015-09-30T12:08:52Z</cp:lastPrinted>
  <dcterms:created xsi:type="dcterms:W3CDTF">2005-07-05T10:19:27Z</dcterms:created>
  <dcterms:modified xsi:type="dcterms:W3CDTF">2015-09-30T12:24:05Z</dcterms:modified>
</cp:coreProperties>
</file>