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0215" windowHeight="8640" activeTab="1"/>
  </bookViews>
  <sheets>
    <sheet name="SST Ritonavir" sheetId="6" r:id="rId1"/>
    <sheet name="SST Lopinavir" sheetId="5" r:id="rId2"/>
    <sheet name="Uniformity" sheetId="2" r:id="rId3"/>
    <sheet name="Lopinavir" sheetId="3" r:id="rId4"/>
    <sheet name="Ritonavir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21" i="5" l="1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F45" i="4" l="1"/>
  <c r="D45" i="4"/>
  <c r="G64" i="3"/>
  <c r="G62" i="3"/>
  <c r="G60" i="3"/>
  <c r="F45" i="3"/>
  <c r="D45" i="3"/>
  <c r="G38" i="4" l="1"/>
  <c r="E38" i="4"/>
  <c r="G38" i="3"/>
  <c r="E38" i="3"/>
  <c r="B69" i="4"/>
  <c r="B68" i="4"/>
  <c r="B45" i="4"/>
  <c r="B68" i="3"/>
  <c r="B45" i="3"/>
  <c r="C120" i="4" l="1"/>
  <c r="B116" i="4"/>
  <c r="D100" i="4" s="1"/>
  <c r="D101" i="4" s="1"/>
  <c r="B98" i="4"/>
  <c r="D97" i="4"/>
  <c r="F95" i="4"/>
  <c r="D95" i="4"/>
  <c r="I92" i="4" s="1"/>
  <c r="B87" i="4"/>
  <c r="F97" i="4" s="1"/>
  <c r="F98" i="4" s="1"/>
  <c r="F99" i="4" s="1"/>
  <c r="B81" i="4"/>
  <c r="B83" i="4" s="1"/>
  <c r="B80" i="4"/>
  <c r="B79" i="4"/>
  <c r="C76" i="4"/>
  <c r="C56" i="4"/>
  <c r="B55" i="4"/>
  <c r="D49" i="4"/>
  <c r="D46" i="4"/>
  <c r="F44" i="4"/>
  <c r="D44" i="4"/>
  <c r="F42" i="4"/>
  <c r="D42" i="4"/>
  <c r="G41" i="4"/>
  <c r="E41" i="4"/>
  <c r="D48" i="3"/>
  <c r="C120" i="3"/>
  <c r="B116" i="3"/>
  <c r="D100" i="3"/>
  <c r="D101" i="3" s="1"/>
  <c r="B98" i="3"/>
  <c r="F97" i="3"/>
  <c r="F95" i="3"/>
  <c r="D95" i="3"/>
  <c r="I92" i="3"/>
  <c r="B87" i="3"/>
  <c r="D97" i="3" s="1"/>
  <c r="B81" i="3"/>
  <c r="B83" i="3" s="1"/>
  <c r="B80" i="3"/>
  <c r="B79" i="3"/>
  <c r="C76" i="3"/>
  <c r="C56" i="3"/>
  <c r="B55" i="3"/>
  <c r="F42" i="3"/>
  <c r="D42" i="3"/>
  <c r="F44" i="3"/>
  <c r="C46" i="2"/>
  <c r="C50" i="2" s="1"/>
  <c r="C45" i="2"/>
  <c r="C19" i="2"/>
  <c r="B57" i="4" l="1"/>
  <c r="D26" i="2"/>
  <c r="D30" i="2"/>
  <c r="D34" i="2"/>
  <c r="D38" i="2"/>
  <c r="D42" i="2"/>
  <c r="D27" i="2"/>
  <c r="D31" i="2"/>
  <c r="D35" i="2"/>
  <c r="D39" i="2"/>
  <c r="C49" i="2"/>
  <c r="D24" i="2"/>
  <c r="D28" i="2"/>
  <c r="D32" i="2"/>
  <c r="D36" i="2"/>
  <c r="D40" i="2"/>
  <c r="D49" i="2"/>
  <c r="B57" i="3"/>
  <c r="B69" i="3" s="1"/>
  <c r="D25" i="2"/>
  <c r="D33" i="2"/>
  <c r="D41" i="2"/>
  <c r="B49" i="2"/>
  <c r="D29" i="2"/>
  <c r="D37" i="2"/>
  <c r="D50" i="2"/>
  <c r="D43" i="2"/>
  <c r="I39" i="4"/>
  <c r="E39" i="4"/>
  <c r="E40" i="4"/>
  <c r="G40" i="4"/>
  <c r="F46" i="4"/>
  <c r="G92" i="4"/>
  <c r="D102" i="4"/>
  <c r="G93" i="4"/>
  <c r="G91" i="4"/>
  <c r="G94" i="4"/>
  <c r="D98" i="4"/>
  <c r="D99" i="4" s="1"/>
  <c r="G39" i="4"/>
  <c r="I39" i="3"/>
  <c r="F46" i="3"/>
  <c r="D98" i="3"/>
  <c r="D99" i="3" s="1"/>
  <c r="F98" i="3"/>
  <c r="F99" i="3" s="1"/>
  <c r="D49" i="3"/>
  <c r="D102" i="3"/>
  <c r="E93" i="3"/>
  <c r="G91" i="3"/>
  <c r="D44" i="3"/>
  <c r="D46" i="3" s="1"/>
  <c r="G42" i="4" l="1"/>
  <c r="D52" i="4"/>
  <c r="E42" i="4"/>
  <c r="D50" i="4"/>
  <c r="E94" i="4"/>
  <c r="E91" i="4"/>
  <c r="E92" i="4"/>
  <c r="G95" i="4"/>
  <c r="E93" i="4"/>
  <c r="G40" i="3"/>
  <c r="G92" i="3"/>
  <c r="E91" i="3"/>
  <c r="E92" i="3"/>
  <c r="E94" i="3"/>
  <c r="E95" i="3" s="1"/>
  <c r="G94" i="3"/>
  <c r="D105" i="3" s="1"/>
  <c r="G93" i="3"/>
  <c r="G41" i="3"/>
  <c r="G39" i="3"/>
  <c r="E40" i="3"/>
  <c r="E41" i="3"/>
  <c r="E39" i="3"/>
  <c r="G68" i="4" l="1"/>
  <c r="H68" i="4" s="1"/>
  <c r="G60" i="4"/>
  <c r="H60" i="4" s="1"/>
  <c r="G64" i="4"/>
  <c r="H64" i="4" s="1"/>
  <c r="G69" i="4"/>
  <c r="H69" i="4" s="1"/>
  <c r="G65" i="4"/>
  <c r="H65" i="4" s="1"/>
  <c r="G62" i="4"/>
  <c r="H62" i="4" s="1"/>
  <c r="D51" i="4"/>
  <c r="G70" i="4"/>
  <c r="H70" i="4" s="1"/>
  <c r="G66" i="4"/>
  <c r="H66" i="4" s="1"/>
  <c r="G61" i="4"/>
  <c r="H61" i="4" s="1"/>
  <c r="D103" i="4"/>
  <c r="E95" i="4"/>
  <c r="D105" i="4"/>
  <c r="D103" i="3"/>
  <c r="E110" i="3" s="1"/>
  <c r="F110" i="3" s="1"/>
  <c r="G95" i="3"/>
  <c r="G42" i="3"/>
  <c r="D50" i="3"/>
  <c r="E42" i="3"/>
  <c r="D52" i="3"/>
  <c r="E112" i="3"/>
  <c r="F112" i="3" s="1"/>
  <c r="E108" i="3"/>
  <c r="F108" i="3" s="1"/>
  <c r="E113" i="3"/>
  <c r="F113" i="3" s="1"/>
  <c r="E111" i="3"/>
  <c r="F111" i="3" s="1"/>
  <c r="D104" i="3"/>
  <c r="D51" i="3" l="1"/>
  <c r="H62" i="3"/>
  <c r="G61" i="3"/>
  <c r="H61" i="3" s="1"/>
  <c r="E112" i="4"/>
  <c r="F112" i="4" s="1"/>
  <c r="E110" i="4"/>
  <c r="F110" i="4" s="1"/>
  <c r="E108" i="4"/>
  <c r="F108" i="4" s="1"/>
  <c r="E113" i="4"/>
  <c r="F113" i="4" s="1"/>
  <c r="E111" i="4"/>
  <c r="F111" i="4" s="1"/>
  <c r="E109" i="4"/>
  <c r="F109" i="4" s="1"/>
  <c r="D104" i="4"/>
  <c r="H72" i="4"/>
  <c r="G76" i="4" s="1"/>
  <c r="H74" i="4"/>
  <c r="E109" i="3"/>
  <c r="F109" i="3" s="1"/>
  <c r="F115" i="3"/>
  <c r="F117" i="3"/>
  <c r="G70" i="3"/>
  <c r="H70" i="3" s="1"/>
  <c r="G65" i="3"/>
  <c r="H65" i="3" s="1"/>
  <c r="G68" i="3"/>
  <c r="H68" i="3" s="1"/>
  <c r="G69" i="3"/>
  <c r="H69" i="3" s="1"/>
  <c r="G66" i="3"/>
  <c r="H66" i="3" s="1"/>
  <c r="H64" i="3"/>
  <c r="H60" i="3"/>
  <c r="F115" i="4" l="1"/>
  <c r="F117" i="4"/>
  <c r="H73" i="4"/>
  <c r="G120" i="3"/>
  <c r="F116" i="3"/>
  <c r="H72" i="3"/>
  <c r="G76" i="3" s="1"/>
  <c r="H74" i="3"/>
  <c r="G120" i="4" l="1"/>
  <c r="F116" i="4"/>
  <c r="H73" i="3"/>
</calcChain>
</file>

<file path=xl/sharedStrings.xml><?xml version="1.0" encoding="utf-8"?>
<sst xmlns="http://schemas.openxmlformats.org/spreadsheetml/2006/main" count="441" uniqueCount="130">
  <si>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</si>
  <si>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</si>
  <si>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</si>
  <si>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</si>
  <si>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</si>
  <si>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</si>
  <si>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</si>
  <si>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 xml:space="preserve">Lopinavir/ Ritonavir </t>
  </si>
  <si>
    <t>Standard Conc (mg/mL):</t>
  </si>
  <si>
    <t>Each film-coated tablet contains Lopinavir 200 mg, Ritonavir 50 mg</t>
  </si>
  <si>
    <t>2015-08-11 14:35:24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</si>
  <si>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</si>
  <si>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</si>
  <si>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</si>
  <si>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</si>
  <si>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</si>
  <si>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</si>
  <si>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</si>
  <si>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</si>
  <si>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</si>
  <si>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</si>
  <si>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</si>
  <si>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</si>
  <si>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</si>
  <si>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</si>
  <si>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</si>
  <si>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</si>
  <si>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</si>
  <si>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</si>
  <si>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</si>
  <si>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</si>
  <si>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</si>
  <si>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</si>
  <si>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</si>
  <si>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</si>
  <si>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</si>
  <si>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</si>
  <si>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</si>
  <si>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</si>
  <si>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</si>
  <si>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</si>
  <si>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</si>
  <si>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</si>
  <si>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</si>
  <si>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</si>
  <si>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</si>
  <si>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</si>
  <si>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</si>
  <si>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</si>
  <si>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</si>
  <si>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</si>
  <si>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</si>
  <si>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</si>
  <si>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</si>
  <si>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</si>
  <si>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</si>
  <si>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</si>
  <si>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</si>
  <si>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</si>
  <si>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</si>
  <si>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</si>
  <si>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</si>
  <si>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</si>
  <si>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</si>
  <si>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</si>
  <si>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</si>
  <si>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</si>
  <si>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</si>
  <si>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</si>
  <si>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</si>
  <si>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</si>
  <si>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</si>
  <si>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</si>
  <si>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</si>
  <si>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</si>
  <si>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</si>
  <si>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</si>
  <si>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</si>
  <si>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</si>
  <si>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</si>
  <si>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</si>
  <si>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</si>
  <si>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</si>
  <si>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</si>
  <si>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</si>
  <si>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</si>
  <si>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</si>
  <si>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</si>
  <si>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</si>
  <si>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</si>
  <si>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</si>
  <si>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</si>
  <si>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</si>
  <si>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</si>
  <si>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</si>
  <si>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</si>
  <si>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</si>
  <si>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</si>
  <si>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</si>
  <si>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</si>
  <si>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</si>
  <si>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</si>
  <si>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</si>
  <si>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</si>
  <si>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</si>
  <si>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</si>
  <si>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</si>
  <si>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</si>
  <si>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</si>
  <si>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</si>
  <si>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</si>
  <si>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</si>
  <si>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</si>
  <si>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</si>
  <si>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</si>
  <si>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</si>
  <si>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</si>
  <si>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</si>
  <si>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</si>
  <si>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</si>
  <si>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</si>
  <si>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</si>
  <si>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</si>
  <si>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Lopinavir</t>
  </si>
  <si>
    <t>L21-1</t>
  </si>
  <si>
    <t>Ritonavir</t>
  </si>
  <si>
    <t xml:space="preserve"> </t>
  </si>
  <si>
    <t>ALUVIA TABLETS</t>
  </si>
  <si>
    <t>NDQD201508121</t>
  </si>
  <si>
    <t>Aluvia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</si>
</sst>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9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70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5" fillId="2" borderId="0" xfId="1" applyFont="1" applyFill="1" applyAlignment="1">
      <alignment horizontal="left"/>
    </xf>
    <xf numFmtId="2" fontId="26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0" sqref="B30"/>
    </sheetView>
  </sheetViews>
  <sheetFormatPr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9"/>
  </cols>
  <sheetData>
    <row r="14" spans="1:6" ht="15" customHeight="1" x14ac:dyDescent="0.3">
      <c r="A14" s="289"/>
      <c r="C14" s="291"/>
      <c r="F14" s="291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129</v>
      </c>
      <c r="D17" s="296"/>
      <c r="E17" s="297"/>
    </row>
    <row r="18" spans="1:5" ht="16.5" customHeight="1" x14ac:dyDescent="0.3">
      <c r="A18" s="298" t="s">
        <v>4</v>
      </c>
      <c r="B18" s="299" t="s">
        <v>128</v>
      </c>
      <c r="C18" s="297"/>
      <c r="D18" s="297"/>
      <c r="E18" s="297"/>
    </row>
    <row r="19" spans="1:5" ht="16.5" customHeight="1" x14ac:dyDescent="0.3">
      <c r="A19" s="298" t="s">
        <v>5</v>
      </c>
      <c r="B19" s="299" t="s">
        <v>125</v>
      </c>
      <c r="C19" s="297"/>
      <c r="D19" s="297"/>
      <c r="E19" s="297"/>
    </row>
    <row r="20" spans="1:5" ht="16.5" customHeight="1" x14ac:dyDescent="0.3">
      <c r="A20" s="295" t="s">
        <v>6</v>
      </c>
      <c r="B20" s="300">
        <v>15.43</v>
      </c>
      <c r="C20" s="297"/>
      <c r="D20" s="297"/>
      <c r="E20" s="297"/>
    </row>
    <row r="21" spans="1:5" ht="16.5" customHeight="1" x14ac:dyDescent="0.3">
      <c r="A21" s="295" t="s">
        <v>8</v>
      </c>
      <c r="B21" s="299">
        <f>15.625/25*10/25</f>
        <v>0.25</v>
      </c>
      <c r="C21" s="297"/>
      <c r="D21" s="297"/>
      <c r="E21" s="297"/>
    </row>
    <row r="22" spans="1:5" ht="15.75" customHeight="1" x14ac:dyDescent="0.25">
      <c r="A22" s="297"/>
      <c r="B22" s="297"/>
      <c r="C22" s="297"/>
      <c r="D22" s="297"/>
      <c r="E22" s="297"/>
    </row>
    <row r="23" spans="1:5" ht="16.5" customHeight="1" x14ac:dyDescent="0.3">
      <c r="A23" s="302" t="s">
        <v>11</v>
      </c>
      <c r="B23" s="303" t="s">
        <v>12</v>
      </c>
      <c r="C23" s="302" t="s">
        <v>13</v>
      </c>
      <c r="D23" s="302" t="s">
        <v>14</v>
      </c>
      <c r="E23" s="302" t="s">
        <v>15</v>
      </c>
    </row>
    <row r="24" spans="1:5" ht="16.5" customHeight="1" x14ac:dyDescent="0.3">
      <c r="A24" s="304">
        <v>1</v>
      </c>
      <c r="B24" s="305">
        <v>13944747</v>
      </c>
      <c r="C24" s="305">
        <v>5219</v>
      </c>
      <c r="D24" s="306">
        <v>0.93</v>
      </c>
      <c r="E24" s="307">
        <v>7.15</v>
      </c>
    </row>
    <row r="25" spans="1:5" ht="16.5" customHeight="1" x14ac:dyDescent="0.3">
      <c r="A25" s="304">
        <v>2</v>
      </c>
      <c r="B25" s="305">
        <v>13938696</v>
      </c>
      <c r="C25" s="305">
        <v>5243</v>
      </c>
      <c r="D25" s="306">
        <v>0.93</v>
      </c>
      <c r="E25" s="306">
        <v>7.15</v>
      </c>
    </row>
    <row r="26" spans="1:5" ht="16.5" customHeight="1" x14ac:dyDescent="0.3">
      <c r="A26" s="304">
        <v>3</v>
      </c>
      <c r="B26" s="305">
        <v>13962512</v>
      </c>
      <c r="C26" s="305">
        <v>5249</v>
      </c>
      <c r="D26" s="306">
        <v>0.93</v>
      </c>
      <c r="E26" s="306">
        <v>7.14</v>
      </c>
    </row>
    <row r="27" spans="1:5" ht="16.5" customHeight="1" x14ac:dyDescent="0.3">
      <c r="A27" s="304">
        <v>4</v>
      </c>
      <c r="B27" s="305">
        <v>13946940</v>
      </c>
      <c r="C27" s="305">
        <v>5251</v>
      </c>
      <c r="D27" s="306">
        <v>0.93</v>
      </c>
      <c r="E27" s="306">
        <v>7.14</v>
      </c>
    </row>
    <row r="28" spans="1:5" ht="16.5" customHeight="1" x14ac:dyDescent="0.3">
      <c r="A28" s="304">
        <v>5</v>
      </c>
      <c r="B28" s="305">
        <v>13966760</v>
      </c>
      <c r="C28" s="305">
        <v>5246</v>
      </c>
      <c r="D28" s="306">
        <v>0.93</v>
      </c>
      <c r="E28" s="306">
        <v>7.14</v>
      </c>
    </row>
    <row r="29" spans="1:5" ht="16.5" customHeight="1" x14ac:dyDescent="0.3">
      <c r="A29" s="304">
        <v>6</v>
      </c>
      <c r="B29" s="308">
        <v>14027607</v>
      </c>
      <c r="C29" s="308">
        <v>5236</v>
      </c>
      <c r="D29" s="309">
        <v>0.93</v>
      </c>
      <c r="E29" s="309">
        <v>7.15</v>
      </c>
    </row>
    <row r="30" spans="1:5" ht="16.5" customHeight="1" x14ac:dyDescent="0.3">
      <c r="A30" s="310" t="s">
        <v>16</v>
      </c>
      <c r="B30" s="311">
        <f>AVERAGE(B24:B29)</f>
        <v>13964543.666666666</v>
      </c>
      <c r="C30" s="312">
        <f>AVERAGE(C24:C29)</f>
        <v>5240.666666666667</v>
      </c>
      <c r="D30" s="313">
        <f>AVERAGE(D24:D29)</f>
        <v>0.93</v>
      </c>
      <c r="E30" s="313">
        <f>AVERAGE(E24:E29)</f>
        <v>7.1449999999999996</v>
      </c>
    </row>
    <row r="31" spans="1:5" ht="16.5" customHeight="1" x14ac:dyDescent="0.3">
      <c r="A31" s="314" t="s">
        <v>17</v>
      </c>
      <c r="B31" s="315">
        <f>(STDEV(B24:B29)/B30)</f>
        <v>2.3437182552469493E-3</v>
      </c>
      <c r="C31" s="316"/>
      <c r="D31" s="316"/>
      <c r="E31" s="317"/>
    </row>
    <row r="32" spans="1:5" s="290" customFormat="1" ht="16.5" customHeight="1" x14ac:dyDescent="0.3">
      <c r="A32" s="318" t="s">
        <v>18</v>
      </c>
      <c r="B32" s="319">
        <f>COUNT(B24:B29)</f>
        <v>6</v>
      </c>
      <c r="C32" s="320"/>
      <c r="D32" s="321"/>
      <c r="E32" s="322"/>
    </row>
    <row r="33" spans="1:5" s="290" customFormat="1" ht="15.75" customHeight="1" x14ac:dyDescent="0.25">
      <c r="A33" s="297"/>
      <c r="B33" s="297"/>
      <c r="C33" s="297"/>
      <c r="D33" s="297"/>
      <c r="E33" s="297"/>
    </row>
    <row r="34" spans="1:5" s="290" customFormat="1" ht="16.5" customHeight="1" x14ac:dyDescent="0.3">
      <c r="A34" s="298" t="s">
        <v>19</v>
      </c>
      <c r="B34" s="323" t="s">
        <v>20</v>
      </c>
      <c r="C34" s="324"/>
      <c r="D34" s="324"/>
      <c r="E34" s="324"/>
    </row>
    <row r="35" spans="1:5" ht="16.5" customHeight="1" x14ac:dyDescent="0.3">
      <c r="A35" s="298"/>
      <c r="B35" s="323" t="s">
        <v>21</v>
      </c>
      <c r="C35" s="324"/>
      <c r="D35" s="324"/>
      <c r="E35" s="324"/>
    </row>
    <row r="36" spans="1:5" ht="16.5" customHeight="1" x14ac:dyDescent="0.3">
      <c r="A36" s="298"/>
      <c r="B36" s="323" t="s">
        <v>22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23</v>
      </c>
    </row>
    <row r="39" spans="1:5" ht="16.5" customHeight="1" x14ac:dyDescent="0.3">
      <c r="A39" s="298" t="s">
        <v>4</v>
      </c>
      <c r="B39" s="295"/>
      <c r="C39" s="297"/>
      <c r="D39" s="297"/>
      <c r="E39" s="297"/>
    </row>
    <row r="40" spans="1:5" ht="16.5" customHeight="1" x14ac:dyDescent="0.3">
      <c r="A40" s="298" t="s">
        <v>5</v>
      </c>
      <c r="B40" s="299"/>
      <c r="C40" s="297"/>
      <c r="D40" s="297"/>
      <c r="E40" s="297"/>
    </row>
    <row r="41" spans="1:5" ht="16.5" customHeight="1" x14ac:dyDescent="0.3">
      <c r="A41" s="295" t="s">
        <v>6</v>
      </c>
      <c r="B41" s="299"/>
      <c r="C41" s="297"/>
      <c r="D41" s="297"/>
      <c r="E41" s="297"/>
    </row>
    <row r="42" spans="1:5" ht="16.5" customHeight="1" x14ac:dyDescent="0.3">
      <c r="A42" s="295" t="s">
        <v>8</v>
      </c>
      <c r="B42" s="325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11</v>
      </c>
      <c r="B44" s="303" t="s">
        <v>12</v>
      </c>
      <c r="C44" s="302" t="s">
        <v>13</v>
      </c>
      <c r="D44" s="302" t="s">
        <v>14</v>
      </c>
      <c r="E44" s="302" t="s">
        <v>15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16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17</v>
      </c>
      <c r="B52" s="315" t="e">
        <f>(STDEV(B45:B50)/B51)</f>
        <v>#DIV/0!</v>
      </c>
      <c r="C52" s="316"/>
      <c r="D52" s="316"/>
      <c r="E52" s="317"/>
    </row>
    <row r="53" spans="1:7" s="290" customFormat="1" ht="16.5" customHeight="1" x14ac:dyDescent="0.3">
      <c r="A53" s="318" t="s">
        <v>18</v>
      </c>
      <c r="B53" s="319">
        <f>COUNT(B45:B50)</f>
        <v>0</v>
      </c>
      <c r="C53" s="320"/>
      <c r="D53" s="321"/>
      <c r="E53" s="322"/>
    </row>
    <row r="54" spans="1:7" s="290" customFormat="1" ht="15.75" customHeight="1" x14ac:dyDescent="0.25">
      <c r="A54" s="297"/>
      <c r="B54" s="297"/>
      <c r="C54" s="297"/>
      <c r="D54" s="297"/>
      <c r="E54" s="297"/>
    </row>
    <row r="55" spans="1:7" s="290" customFormat="1" ht="16.5" customHeight="1" x14ac:dyDescent="0.3">
      <c r="A55" s="298" t="s">
        <v>19</v>
      </c>
      <c r="B55" s="323" t="s">
        <v>20</v>
      </c>
      <c r="C55" s="324"/>
      <c r="D55" s="324"/>
      <c r="E55" s="324"/>
    </row>
    <row r="56" spans="1:7" ht="16.5" customHeight="1" x14ac:dyDescent="0.3">
      <c r="A56" s="298"/>
      <c r="B56" s="323" t="s">
        <v>21</v>
      </c>
      <c r="C56" s="324"/>
      <c r="D56" s="324"/>
      <c r="E56" s="324"/>
    </row>
    <row r="57" spans="1:7" ht="16.5" customHeight="1" x14ac:dyDescent="0.3">
      <c r="A57" s="298"/>
      <c r="B57" s="323" t="s">
        <v>22</v>
      </c>
      <c r="C57" s="324"/>
      <c r="D57" s="324"/>
      <c r="E57" s="324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24</v>
      </c>
      <c r="C59" s="330"/>
      <c r="E59" s="331" t="s">
        <v>25</v>
      </c>
      <c r="F59" s="332"/>
      <c r="G59" s="331" t="s">
        <v>26</v>
      </c>
    </row>
    <row r="60" spans="1:7" ht="15" customHeight="1" x14ac:dyDescent="0.3">
      <c r="A60" s="333" t="s">
        <v>27</v>
      </c>
      <c r="B60" s="334"/>
      <c r="C60" s="334"/>
      <c r="E60" s="334"/>
      <c r="G60" s="334"/>
    </row>
    <row r="61" spans="1:7" ht="15" customHeight="1" x14ac:dyDescent="0.3">
      <c r="A61" s="333" t="s">
        <v>28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" workbookViewId="0">
      <selection activeCell="B17" sqref="B17:B18"/>
    </sheetView>
  </sheetViews>
  <sheetFormatPr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9"/>
  </cols>
  <sheetData>
    <row r="14" spans="1:6" ht="15" customHeight="1" x14ac:dyDescent="0.3">
      <c r="A14" s="289"/>
      <c r="C14" s="291"/>
      <c r="F14" s="291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129</v>
      </c>
      <c r="D17" s="296"/>
      <c r="E17" s="297"/>
    </row>
    <row r="18" spans="1:5" ht="16.5" customHeight="1" x14ac:dyDescent="0.3">
      <c r="A18" s="298" t="s">
        <v>4</v>
      </c>
      <c r="B18" s="299" t="s">
        <v>128</v>
      </c>
      <c r="C18" s="297"/>
      <c r="D18" s="297"/>
      <c r="E18" s="297"/>
    </row>
    <row r="19" spans="1:5" ht="16.5" customHeight="1" x14ac:dyDescent="0.3">
      <c r="A19" s="298" t="s">
        <v>5</v>
      </c>
      <c r="B19" s="299" t="s">
        <v>123</v>
      </c>
      <c r="C19" s="297"/>
      <c r="D19" s="297"/>
      <c r="E19" s="297"/>
    </row>
    <row r="20" spans="1:5" ht="16.5" customHeight="1" x14ac:dyDescent="0.3">
      <c r="A20" s="295" t="s">
        <v>6</v>
      </c>
      <c r="B20" s="300">
        <v>23.43</v>
      </c>
      <c r="C20" s="297"/>
      <c r="D20" s="297"/>
      <c r="E20" s="297"/>
    </row>
    <row r="21" spans="1:5" ht="16.5" customHeight="1" x14ac:dyDescent="0.3">
      <c r="A21" s="295" t="s">
        <v>8</v>
      </c>
      <c r="B21" s="301">
        <f>25/25</f>
        <v>1</v>
      </c>
      <c r="C21" s="297"/>
      <c r="D21" s="297"/>
      <c r="E21" s="297"/>
    </row>
    <row r="22" spans="1:5" ht="15.75" customHeight="1" x14ac:dyDescent="0.25">
      <c r="A22" s="297"/>
      <c r="B22" s="297"/>
      <c r="C22" s="297"/>
      <c r="D22" s="297"/>
      <c r="E22" s="297"/>
    </row>
    <row r="23" spans="1:5" ht="16.5" customHeight="1" x14ac:dyDescent="0.3">
      <c r="A23" s="302" t="s">
        <v>11</v>
      </c>
      <c r="B23" s="303" t="s">
        <v>12</v>
      </c>
      <c r="C23" s="302" t="s">
        <v>13</v>
      </c>
      <c r="D23" s="302" t="s">
        <v>14</v>
      </c>
      <c r="E23" s="302" t="s">
        <v>15</v>
      </c>
    </row>
    <row r="24" spans="1:5" ht="16.5" customHeight="1" x14ac:dyDescent="0.3">
      <c r="A24" s="304">
        <v>1</v>
      </c>
      <c r="B24" s="305">
        <v>53991048</v>
      </c>
      <c r="C24" s="305">
        <v>3751</v>
      </c>
      <c r="D24" s="306">
        <v>0.83</v>
      </c>
      <c r="E24" s="307">
        <v>5.46</v>
      </c>
    </row>
    <row r="25" spans="1:5" ht="16.5" customHeight="1" x14ac:dyDescent="0.3">
      <c r="A25" s="304">
        <v>2</v>
      </c>
      <c r="B25" s="305">
        <v>53930486</v>
      </c>
      <c r="C25" s="305">
        <v>3762</v>
      </c>
      <c r="D25" s="306">
        <v>0.84</v>
      </c>
      <c r="E25" s="306">
        <v>5.46</v>
      </c>
    </row>
    <row r="26" spans="1:5" ht="16.5" customHeight="1" x14ac:dyDescent="0.3">
      <c r="A26" s="304">
        <v>3</v>
      </c>
      <c r="B26" s="305">
        <v>53901123</v>
      </c>
      <c r="C26" s="305">
        <v>3756</v>
      </c>
      <c r="D26" s="306">
        <v>0.84</v>
      </c>
      <c r="E26" s="306">
        <v>5.45</v>
      </c>
    </row>
    <row r="27" spans="1:5" ht="16.5" customHeight="1" x14ac:dyDescent="0.3">
      <c r="A27" s="304">
        <v>4</v>
      </c>
      <c r="B27" s="305">
        <v>53891327</v>
      </c>
      <c r="C27" s="305">
        <v>3765</v>
      </c>
      <c r="D27" s="306">
        <v>0.84</v>
      </c>
      <c r="E27" s="306">
        <v>5.45</v>
      </c>
    </row>
    <row r="28" spans="1:5" ht="16.5" customHeight="1" x14ac:dyDescent="0.3">
      <c r="A28" s="304">
        <v>5</v>
      </c>
      <c r="B28" s="305">
        <v>53947473</v>
      </c>
      <c r="C28" s="305">
        <v>3766</v>
      </c>
      <c r="D28" s="306">
        <v>0.84</v>
      </c>
      <c r="E28" s="306">
        <v>5.45</v>
      </c>
    </row>
    <row r="29" spans="1:5" ht="16.5" customHeight="1" x14ac:dyDescent="0.3">
      <c r="A29" s="304">
        <v>6</v>
      </c>
      <c r="B29" s="308">
        <v>54228255</v>
      </c>
      <c r="C29" s="308">
        <v>3752</v>
      </c>
      <c r="D29" s="309">
        <v>0.84</v>
      </c>
      <c r="E29" s="309">
        <v>5.45</v>
      </c>
    </row>
    <row r="30" spans="1:5" ht="16.5" customHeight="1" x14ac:dyDescent="0.3">
      <c r="A30" s="310" t="s">
        <v>16</v>
      </c>
      <c r="B30" s="311">
        <f>AVERAGE(B24:B29)</f>
        <v>53981618.666666664</v>
      </c>
      <c r="C30" s="312">
        <f>AVERAGE(C24:C29)</f>
        <v>3758.6666666666665</v>
      </c>
      <c r="D30" s="313">
        <f>AVERAGE(D24:D29)</f>
        <v>0.83833333333333326</v>
      </c>
      <c r="E30" s="313">
        <f>AVERAGE(E24:E29)</f>
        <v>5.4533333333333331</v>
      </c>
    </row>
    <row r="31" spans="1:5" ht="16.5" customHeight="1" x14ac:dyDescent="0.3">
      <c r="A31" s="314" t="s">
        <v>17</v>
      </c>
      <c r="B31" s="315">
        <f>(STDEV(B24:B29)/B30)</f>
        <v>2.3334074382081252E-3</v>
      </c>
      <c r="C31" s="316"/>
      <c r="D31" s="316"/>
      <c r="E31" s="317"/>
    </row>
    <row r="32" spans="1:5" s="290" customFormat="1" ht="16.5" customHeight="1" x14ac:dyDescent="0.3">
      <c r="A32" s="318" t="s">
        <v>18</v>
      </c>
      <c r="B32" s="319">
        <f>COUNT(B24:B29)</f>
        <v>6</v>
      </c>
      <c r="C32" s="320"/>
      <c r="D32" s="321"/>
      <c r="E32" s="322"/>
    </row>
    <row r="33" spans="1:5" s="290" customFormat="1" ht="15.75" customHeight="1" x14ac:dyDescent="0.25">
      <c r="A33" s="297"/>
      <c r="B33" s="297"/>
      <c r="C33" s="297"/>
      <c r="D33" s="297"/>
      <c r="E33" s="297"/>
    </row>
    <row r="34" spans="1:5" s="290" customFormat="1" ht="16.5" customHeight="1" x14ac:dyDescent="0.3">
      <c r="A34" s="298" t="s">
        <v>19</v>
      </c>
      <c r="B34" s="323" t="s">
        <v>20</v>
      </c>
      <c r="C34" s="324"/>
      <c r="D34" s="324"/>
      <c r="E34" s="324"/>
    </row>
    <row r="35" spans="1:5" ht="16.5" customHeight="1" x14ac:dyDescent="0.3">
      <c r="A35" s="298"/>
      <c r="B35" s="323" t="s">
        <v>21</v>
      </c>
      <c r="C35" s="324"/>
      <c r="D35" s="324"/>
      <c r="E35" s="324"/>
    </row>
    <row r="36" spans="1:5" ht="16.5" customHeight="1" x14ac:dyDescent="0.3">
      <c r="A36" s="298"/>
      <c r="B36" s="323" t="s">
        <v>22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23</v>
      </c>
    </row>
    <row r="39" spans="1:5" ht="16.5" customHeight="1" x14ac:dyDescent="0.3">
      <c r="A39" s="298" t="s">
        <v>4</v>
      </c>
      <c r="B39" s="295"/>
      <c r="C39" s="297"/>
      <c r="D39" s="297"/>
      <c r="E39" s="297"/>
    </row>
    <row r="40" spans="1:5" ht="16.5" customHeight="1" x14ac:dyDescent="0.3">
      <c r="A40" s="298" t="s">
        <v>5</v>
      </c>
      <c r="B40" s="299"/>
      <c r="C40" s="297"/>
      <c r="D40" s="297"/>
      <c r="E40" s="297"/>
    </row>
    <row r="41" spans="1:5" ht="16.5" customHeight="1" x14ac:dyDescent="0.3">
      <c r="A41" s="295" t="s">
        <v>6</v>
      </c>
      <c r="B41" s="299"/>
      <c r="C41" s="297"/>
      <c r="D41" s="297"/>
      <c r="E41" s="297"/>
    </row>
    <row r="42" spans="1:5" ht="16.5" customHeight="1" x14ac:dyDescent="0.3">
      <c r="A42" s="295" t="s">
        <v>8</v>
      </c>
      <c r="B42" s="325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11</v>
      </c>
      <c r="B44" s="303" t="s">
        <v>12</v>
      </c>
      <c r="C44" s="302" t="s">
        <v>13</v>
      </c>
      <c r="D44" s="302" t="s">
        <v>14</v>
      </c>
      <c r="E44" s="302" t="s">
        <v>15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16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17</v>
      </c>
      <c r="B52" s="315" t="e">
        <f>(STDEV(B45:B50)/B51)</f>
        <v>#DIV/0!</v>
      </c>
      <c r="C52" s="316"/>
      <c r="D52" s="316"/>
      <c r="E52" s="317"/>
    </row>
    <row r="53" spans="1:7" s="290" customFormat="1" ht="16.5" customHeight="1" x14ac:dyDescent="0.3">
      <c r="A53" s="318" t="s">
        <v>18</v>
      </c>
      <c r="B53" s="319">
        <f>COUNT(B45:B50)</f>
        <v>0</v>
      </c>
      <c r="C53" s="320"/>
      <c r="D53" s="321"/>
      <c r="E53" s="322"/>
    </row>
    <row r="54" spans="1:7" s="290" customFormat="1" ht="15.75" customHeight="1" x14ac:dyDescent="0.25">
      <c r="A54" s="297"/>
      <c r="B54" s="297"/>
      <c r="C54" s="297"/>
      <c r="D54" s="297"/>
      <c r="E54" s="297"/>
    </row>
    <row r="55" spans="1:7" s="290" customFormat="1" ht="16.5" customHeight="1" x14ac:dyDescent="0.3">
      <c r="A55" s="298" t="s">
        <v>19</v>
      </c>
      <c r="B55" s="323" t="s">
        <v>20</v>
      </c>
      <c r="C55" s="324"/>
      <c r="D55" s="324"/>
      <c r="E55" s="324"/>
    </row>
    <row r="56" spans="1:7" ht="16.5" customHeight="1" x14ac:dyDescent="0.3">
      <c r="A56" s="298"/>
      <c r="B56" s="323" t="s">
        <v>21</v>
      </c>
      <c r="C56" s="324"/>
      <c r="D56" s="324"/>
      <c r="E56" s="324"/>
    </row>
    <row r="57" spans="1:7" ht="16.5" customHeight="1" x14ac:dyDescent="0.3">
      <c r="A57" s="298"/>
      <c r="B57" s="323" t="s">
        <v>22</v>
      </c>
      <c r="C57" s="324"/>
      <c r="D57" s="324"/>
      <c r="E57" s="324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24</v>
      </c>
      <c r="C59" s="330"/>
      <c r="E59" s="331" t="s">
        <v>25</v>
      </c>
      <c r="F59" s="332"/>
      <c r="G59" s="331" t="s">
        <v>26</v>
      </c>
    </row>
    <row r="60" spans="1:7" ht="15" customHeight="1" x14ac:dyDescent="0.3">
      <c r="A60" s="333" t="s">
        <v>27</v>
      </c>
      <c r="B60" s="334"/>
      <c r="C60" s="334"/>
      <c r="E60" s="334"/>
      <c r="G60" s="334"/>
    </row>
    <row r="61" spans="1:7" ht="15" customHeight="1" x14ac:dyDescent="0.3">
      <c r="A61" s="333" t="s">
        <v>28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5" t="s">
        <v>29</v>
      </c>
      <c r="B11" s="246"/>
      <c r="C11" s="246"/>
      <c r="D11" s="246"/>
      <c r="E11" s="246"/>
      <c r="F11" s="247"/>
      <c r="G11" s="45"/>
    </row>
    <row r="12" spans="1:7" ht="16.5" customHeight="1" x14ac:dyDescent="0.3">
      <c r="A12" s="244" t="s">
        <v>30</v>
      </c>
      <c r="B12" s="244"/>
      <c r="C12" s="244"/>
      <c r="D12" s="244"/>
      <c r="E12" s="244"/>
      <c r="F12" s="244"/>
      <c r="G12" s="44"/>
    </row>
    <row r="14" spans="1:7" ht="16.5" customHeight="1" x14ac:dyDescent="0.3">
      <c r="A14" s="249" t="s">
        <v>31</v>
      </c>
      <c r="B14" s="249"/>
      <c r="C14" s="337" t="s">
        <v>129</v>
      </c>
    </row>
    <row r="15" spans="1:7" ht="16.5" customHeight="1" x14ac:dyDescent="0.3">
      <c r="A15" s="249" t="s">
        <v>32</v>
      </c>
      <c r="B15" s="249"/>
      <c r="C15" s="338" t="s">
        <v>128</v>
      </c>
    </row>
    <row r="16" spans="1:7" ht="16.5" customHeight="1" x14ac:dyDescent="0.3">
      <c r="A16" s="249" t="s">
        <v>33</v>
      </c>
      <c r="B16" s="249"/>
      <c r="C16" s="14" t="s">
        <v>7</v>
      </c>
    </row>
    <row r="17" spans="1:5" ht="16.5" customHeight="1" x14ac:dyDescent="0.3">
      <c r="A17" s="249" t="s">
        <v>34</v>
      </c>
      <c r="B17" s="249"/>
      <c r="C17" s="14" t="s">
        <v>9</v>
      </c>
    </row>
    <row r="18" spans="1:5" ht="16.5" customHeight="1" x14ac:dyDescent="0.3">
      <c r="A18" s="249" t="s">
        <v>35</v>
      </c>
      <c r="B18" s="249"/>
      <c r="C18" s="51" t="s">
        <v>10</v>
      </c>
    </row>
    <row r="19" spans="1:5" ht="16.5" customHeight="1" x14ac:dyDescent="0.3">
      <c r="A19" s="249" t="s">
        <v>36</v>
      </c>
      <c r="B19" s="249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244" t="s">
        <v>1</v>
      </c>
      <c r="B21" s="244"/>
      <c r="C21" s="13" t="s">
        <v>37</v>
      </c>
      <c r="D21" s="20"/>
    </row>
    <row r="22" spans="1:5" ht="15.75" customHeight="1" x14ac:dyDescent="0.3">
      <c r="A22" s="248"/>
      <c r="B22" s="248"/>
      <c r="C22" s="11"/>
      <c r="D22" s="248"/>
      <c r="E22" s="248"/>
    </row>
    <row r="23" spans="1:5" ht="33.75" customHeight="1" x14ac:dyDescent="0.3">
      <c r="C23" s="40" t="s">
        <v>38</v>
      </c>
      <c r="D23" s="39" t="s">
        <v>39</v>
      </c>
      <c r="E23" s="6"/>
    </row>
    <row r="24" spans="1:5" ht="15.75" customHeight="1" x14ac:dyDescent="0.3">
      <c r="C24" s="49">
        <v>1256.04</v>
      </c>
      <c r="D24" s="41">
        <f t="shared" ref="D24:D43" si="0">(C24-$C$46)/$C$46</f>
        <v>4.2768357651889492E-3</v>
      </c>
      <c r="E24" s="7"/>
    </row>
    <row r="25" spans="1:5" ht="15.75" customHeight="1" x14ac:dyDescent="0.3">
      <c r="C25" s="49">
        <v>1248.78</v>
      </c>
      <c r="D25" s="42">
        <f t="shared" si="0"/>
        <v>-1.5279553462846204E-3</v>
      </c>
      <c r="E25" s="7"/>
    </row>
    <row r="26" spans="1:5" ht="15.75" customHeight="1" x14ac:dyDescent="0.3">
      <c r="C26" s="49">
        <v>1246.6199999999999</v>
      </c>
      <c r="D26" s="42">
        <f t="shared" si="0"/>
        <v>-3.2550006356487251E-3</v>
      </c>
      <c r="E26" s="7"/>
    </row>
    <row r="27" spans="1:5" ht="15.75" customHeight="1" x14ac:dyDescent="0.3">
      <c r="C27" s="49">
        <v>1254.3</v>
      </c>
      <c r="D27" s="42">
        <f t="shared" si="0"/>
        <v>2.8856048376456884E-3</v>
      </c>
      <c r="E27" s="7"/>
    </row>
    <row r="28" spans="1:5" ht="15.75" customHeight="1" x14ac:dyDescent="0.3">
      <c r="C28" s="49">
        <v>1256.4000000000001</v>
      </c>
      <c r="D28" s="42">
        <f t="shared" si="0"/>
        <v>4.5646766467497242E-3</v>
      </c>
      <c r="E28" s="7"/>
    </row>
    <row r="29" spans="1:5" ht="15.75" customHeight="1" x14ac:dyDescent="0.3">
      <c r="C29" s="49">
        <v>1241.47</v>
      </c>
      <c r="D29" s="42">
        <f t="shared" si="0"/>
        <v>-7.3727243579749142E-3</v>
      </c>
      <c r="E29" s="7"/>
    </row>
    <row r="30" spans="1:5" ht="15.75" customHeight="1" x14ac:dyDescent="0.3">
      <c r="C30" s="49">
        <v>1248.73</v>
      </c>
      <c r="D30" s="42">
        <f t="shared" si="0"/>
        <v>-1.5679332465013442E-3</v>
      </c>
      <c r="E30" s="7"/>
    </row>
    <row r="31" spans="1:5" ht="15.75" customHeight="1" x14ac:dyDescent="0.3">
      <c r="C31" s="49">
        <v>1243.92</v>
      </c>
      <c r="D31" s="42">
        <f t="shared" si="0"/>
        <v>-5.4138072473536294E-3</v>
      </c>
      <c r="E31" s="7"/>
    </row>
    <row r="32" spans="1:5" ht="15.75" customHeight="1" x14ac:dyDescent="0.3">
      <c r="C32" s="49">
        <v>1242.26</v>
      </c>
      <c r="D32" s="42">
        <f t="shared" si="0"/>
        <v>-6.7410735345501327E-3</v>
      </c>
      <c r="E32" s="7"/>
    </row>
    <row r="33" spans="1:7" ht="15.75" customHeight="1" x14ac:dyDescent="0.3">
      <c r="C33" s="49">
        <v>1246.25</v>
      </c>
      <c r="D33" s="42">
        <f t="shared" si="0"/>
        <v>-3.5508370972526632E-3</v>
      </c>
      <c r="E33" s="7"/>
    </row>
    <row r="34" spans="1:7" ht="15.75" customHeight="1" x14ac:dyDescent="0.3">
      <c r="C34" s="49">
        <v>1254.32</v>
      </c>
      <c r="D34" s="42">
        <f t="shared" si="0"/>
        <v>2.9015959977323779E-3</v>
      </c>
      <c r="E34" s="7"/>
    </row>
    <row r="35" spans="1:7" ht="15.75" customHeight="1" x14ac:dyDescent="0.3">
      <c r="C35" s="49">
        <v>1251.27</v>
      </c>
      <c r="D35" s="42">
        <f t="shared" si="0"/>
        <v>4.6294408451004357E-4</v>
      </c>
      <c r="E35" s="7"/>
    </row>
    <row r="36" spans="1:7" ht="15.75" customHeight="1" x14ac:dyDescent="0.3">
      <c r="C36" s="49">
        <v>1258.51</v>
      </c>
      <c r="D36" s="42">
        <f t="shared" si="0"/>
        <v>6.2517440358969244E-3</v>
      </c>
      <c r="E36" s="7"/>
    </row>
    <row r="37" spans="1:7" ht="15.75" customHeight="1" x14ac:dyDescent="0.3">
      <c r="C37" s="49">
        <v>1250.3800000000001</v>
      </c>
      <c r="D37" s="42">
        <f t="shared" si="0"/>
        <v>-2.4866253934818577E-4</v>
      </c>
      <c r="E37" s="7"/>
    </row>
    <row r="38" spans="1:7" ht="15.75" customHeight="1" x14ac:dyDescent="0.3">
      <c r="C38" s="49">
        <v>1256.32</v>
      </c>
      <c r="D38" s="42">
        <f t="shared" si="0"/>
        <v>4.500712006402785E-3</v>
      </c>
      <c r="E38" s="7"/>
    </row>
    <row r="39" spans="1:7" ht="15.75" customHeight="1" x14ac:dyDescent="0.3">
      <c r="C39" s="49">
        <v>1248.94</v>
      </c>
      <c r="D39" s="42">
        <f t="shared" si="0"/>
        <v>-1.4000260655909224E-3</v>
      </c>
      <c r="E39" s="7"/>
    </row>
    <row r="40" spans="1:7" ht="15.75" customHeight="1" x14ac:dyDescent="0.3">
      <c r="C40" s="49">
        <v>1242.54</v>
      </c>
      <c r="D40" s="42">
        <f t="shared" si="0"/>
        <v>-6.5171972933362977E-3</v>
      </c>
      <c r="E40" s="7"/>
    </row>
    <row r="41" spans="1:7" ht="15.75" customHeight="1" x14ac:dyDescent="0.3">
      <c r="C41" s="49">
        <v>1257.5</v>
      </c>
      <c r="D41" s="42">
        <f t="shared" si="0"/>
        <v>5.4441904515183754E-3</v>
      </c>
      <c r="E41" s="7"/>
    </row>
    <row r="42" spans="1:7" ht="15.75" customHeight="1" x14ac:dyDescent="0.3">
      <c r="C42" s="49">
        <v>1252.73</v>
      </c>
      <c r="D42" s="42">
        <f t="shared" si="0"/>
        <v>1.6302987708394698E-3</v>
      </c>
      <c r="E42" s="7"/>
    </row>
    <row r="43" spans="1:7" ht="16.5" customHeight="1" x14ac:dyDescent="0.3">
      <c r="C43" s="50">
        <v>1256.54</v>
      </c>
      <c r="D43" s="43">
        <f t="shared" si="0"/>
        <v>4.6766147673565515E-3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40</v>
      </c>
      <c r="C45" s="37">
        <f>SUM(C24:C44)</f>
        <v>25013.82</v>
      </c>
      <c r="D45" s="32"/>
      <c r="E45" s="8"/>
    </row>
    <row r="46" spans="1:7" ht="17.25" customHeight="1" x14ac:dyDescent="0.3">
      <c r="B46" s="36" t="s">
        <v>41</v>
      </c>
      <c r="C46" s="38">
        <f>AVERAGE(C24:C44)</f>
        <v>1250.691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41</v>
      </c>
      <c r="C48" s="39" t="s">
        <v>42</v>
      </c>
      <c r="D48" s="34"/>
      <c r="G48" s="12"/>
    </row>
    <row r="49" spans="1:6" ht="17.25" customHeight="1" x14ac:dyDescent="0.3">
      <c r="B49" s="242">
        <f>C46</f>
        <v>1250.691</v>
      </c>
      <c r="C49" s="47">
        <f>-IF(C46&lt;=80,10%,IF(C46&lt;250,7.5%,5%))</f>
        <v>-0.05</v>
      </c>
      <c r="D49" s="35">
        <f>IF(C46&lt;=80,C46*0.9,IF(C46&lt;250,C46*0.925,C46*0.95))</f>
        <v>1188.1564499999999</v>
      </c>
    </row>
    <row r="50" spans="1:6" ht="17.25" customHeight="1" x14ac:dyDescent="0.3">
      <c r="B50" s="243"/>
      <c r="C50" s="48">
        <f>IF(C46&lt;=80, 10%, IF(C46&lt;250, 7.5%, 5%))</f>
        <v>0.05</v>
      </c>
      <c r="D50" s="35">
        <f>IF(C46&lt;=80, C46*1.1, IF(C46&lt;250, C46*1.075, C46*1.05))</f>
        <v>1313.2255500000001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24</v>
      </c>
      <c r="C52" s="21"/>
      <c r="D52" s="22" t="s">
        <v>25</v>
      </c>
      <c r="E52" s="23"/>
      <c r="F52" s="22" t="s">
        <v>26</v>
      </c>
    </row>
    <row r="53" spans="1:6" ht="34.5" customHeight="1" x14ac:dyDescent="0.3">
      <c r="A53" s="24" t="s">
        <v>27</v>
      </c>
      <c r="B53" s="25"/>
      <c r="C53" s="26"/>
      <c r="D53" s="25"/>
      <c r="E53" s="15"/>
      <c r="F53" s="27"/>
    </row>
    <row r="54" spans="1:6" ht="34.5" customHeight="1" x14ac:dyDescent="0.3">
      <c r="A54" s="24" t="s">
        <v>28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" zoomScale="55" zoomScaleNormal="40" zoomScalePageLayoutView="55" workbookViewId="0">
      <selection activeCell="B18" sqref="B18: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50" t="s">
        <v>43</v>
      </c>
      <c r="B1" s="250"/>
      <c r="C1" s="250"/>
      <c r="D1" s="250"/>
      <c r="E1" s="250"/>
      <c r="F1" s="250"/>
      <c r="G1" s="250"/>
      <c r="H1" s="250"/>
      <c r="I1" s="250"/>
    </row>
    <row r="2" spans="1:9" ht="18.75" customHeight="1" x14ac:dyDescent="0.25">
      <c r="A2" s="250"/>
      <c r="B2" s="250"/>
      <c r="C2" s="250"/>
      <c r="D2" s="250"/>
      <c r="E2" s="250"/>
      <c r="F2" s="250"/>
      <c r="G2" s="250"/>
      <c r="H2" s="250"/>
      <c r="I2" s="250"/>
    </row>
    <row r="3" spans="1:9" ht="18.75" customHeight="1" x14ac:dyDescent="0.25">
      <c r="A3" s="250"/>
      <c r="B3" s="250"/>
      <c r="C3" s="250"/>
      <c r="D3" s="250"/>
      <c r="E3" s="250"/>
      <c r="F3" s="250"/>
      <c r="G3" s="250"/>
      <c r="H3" s="250"/>
      <c r="I3" s="250"/>
    </row>
    <row r="4" spans="1:9" ht="18.75" customHeight="1" x14ac:dyDescent="0.25">
      <c r="A4" s="250"/>
      <c r="B4" s="250"/>
      <c r="C4" s="250"/>
      <c r="D4" s="250"/>
      <c r="E4" s="250"/>
      <c r="F4" s="250"/>
      <c r="G4" s="250"/>
      <c r="H4" s="250"/>
      <c r="I4" s="250"/>
    </row>
    <row r="5" spans="1:9" ht="18.75" customHeight="1" x14ac:dyDescent="0.25">
      <c r="A5" s="250"/>
      <c r="B5" s="250"/>
      <c r="C5" s="250"/>
      <c r="D5" s="250"/>
      <c r="E5" s="250"/>
      <c r="F5" s="250"/>
      <c r="G5" s="250"/>
      <c r="H5" s="250"/>
      <c r="I5" s="250"/>
    </row>
    <row r="6" spans="1:9" ht="18.75" customHeight="1" x14ac:dyDescent="0.25">
      <c r="A6" s="250"/>
      <c r="B6" s="250"/>
      <c r="C6" s="250"/>
      <c r="D6" s="250"/>
      <c r="E6" s="250"/>
      <c r="F6" s="250"/>
      <c r="G6" s="250"/>
      <c r="H6" s="250"/>
      <c r="I6" s="250"/>
    </row>
    <row r="7" spans="1:9" ht="18.75" customHeight="1" x14ac:dyDescent="0.25">
      <c r="A7" s="250"/>
      <c r="B7" s="250"/>
      <c r="C7" s="250"/>
      <c r="D7" s="250"/>
      <c r="E7" s="250"/>
      <c r="F7" s="250"/>
      <c r="G7" s="250"/>
      <c r="H7" s="250"/>
      <c r="I7" s="250"/>
    </row>
    <row r="8" spans="1:9" x14ac:dyDescent="0.25">
      <c r="A8" s="251" t="s">
        <v>44</v>
      </c>
      <c r="B8" s="251"/>
      <c r="C8" s="251"/>
      <c r="D8" s="251"/>
      <c r="E8" s="251"/>
      <c r="F8" s="251"/>
      <c r="G8" s="251"/>
      <c r="H8" s="251"/>
      <c r="I8" s="251"/>
    </row>
    <row r="9" spans="1:9" x14ac:dyDescent="0.25">
      <c r="A9" s="251"/>
      <c r="B9" s="251"/>
      <c r="C9" s="251"/>
      <c r="D9" s="251"/>
      <c r="E9" s="251"/>
      <c r="F9" s="251"/>
      <c r="G9" s="251"/>
      <c r="H9" s="251"/>
      <c r="I9" s="251"/>
    </row>
    <row r="10" spans="1:9" x14ac:dyDescent="0.25">
      <c r="A10" s="251"/>
      <c r="B10" s="251"/>
      <c r="C10" s="251"/>
      <c r="D10" s="251"/>
      <c r="E10" s="251"/>
      <c r="F10" s="251"/>
      <c r="G10" s="251"/>
      <c r="H10" s="251"/>
      <c r="I10" s="251"/>
    </row>
    <row r="11" spans="1:9" x14ac:dyDescent="0.25">
      <c r="A11" s="251"/>
      <c r="B11" s="251"/>
      <c r="C11" s="251"/>
      <c r="D11" s="251"/>
      <c r="E11" s="251"/>
      <c r="F11" s="251"/>
      <c r="G11" s="251"/>
      <c r="H11" s="251"/>
      <c r="I11" s="251"/>
    </row>
    <row r="12" spans="1:9" x14ac:dyDescent="0.25">
      <c r="A12" s="251"/>
      <c r="B12" s="251"/>
      <c r="C12" s="251"/>
      <c r="D12" s="251"/>
      <c r="E12" s="251"/>
      <c r="F12" s="251"/>
      <c r="G12" s="251"/>
      <c r="H12" s="251"/>
      <c r="I12" s="251"/>
    </row>
    <row r="13" spans="1:9" x14ac:dyDescent="0.25">
      <c r="A13" s="251"/>
      <c r="B13" s="251"/>
      <c r="C13" s="251"/>
      <c r="D13" s="251"/>
      <c r="E13" s="251"/>
      <c r="F13" s="251"/>
      <c r="G13" s="251"/>
      <c r="H13" s="251"/>
      <c r="I13" s="251"/>
    </row>
    <row r="14" spans="1:9" x14ac:dyDescent="0.25">
      <c r="A14" s="251"/>
      <c r="B14" s="251"/>
      <c r="C14" s="251"/>
      <c r="D14" s="251"/>
      <c r="E14" s="251"/>
      <c r="F14" s="251"/>
      <c r="G14" s="251"/>
      <c r="H14" s="251"/>
      <c r="I14" s="251"/>
    </row>
    <row r="15" spans="1:9" ht="19.5" customHeight="1" x14ac:dyDescent="0.3">
      <c r="A15" s="52"/>
    </row>
    <row r="16" spans="1:9" ht="19.5" customHeight="1" x14ac:dyDescent="0.3">
      <c r="A16" s="284" t="s">
        <v>29</v>
      </c>
      <c r="B16" s="285"/>
      <c r="C16" s="285"/>
      <c r="D16" s="285"/>
      <c r="E16" s="285"/>
      <c r="F16" s="285"/>
      <c r="G16" s="285"/>
      <c r="H16" s="286"/>
    </row>
    <row r="17" spans="1:14" ht="20.25" customHeight="1" x14ac:dyDescent="0.25">
      <c r="A17" s="287" t="s">
        <v>45</v>
      </c>
      <c r="B17" s="287"/>
      <c r="C17" s="287"/>
      <c r="D17" s="287"/>
      <c r="E17" s="287"/>
      <c r="F17" s="287"/>
      <c r="G17" s="287"/>
      <c r="H17" s="287"/>
    </row>
    <row r="18" spans="1:14" ht="26.25" customHeight="1" x14ac:dyDescent="0.4">
      <c r="A18" s="54" t="s">
        <v>31</v>
      </c>
      <c r="B18" s="283" t="s">
        <v>127</v>
      </c>
      <c r="C18" s="283"/>
      <c r="D18" s="223"/>
      <c r="E18" s="55"/>
      <c r="F18" s="56"/>
      <c r="G18" s="56"/>
      <c r="H18" s="56"/>
    </row>
    <row r="19" spans="1:14" ht="26.25" customHeight="1" x14ac:dyDescent="0.4">
      <c r="A19" s="54" t="s">
        <v>32</v>
      </c>
      <c r="B19" s="241" t="s">
        <v>128</v>
      </c>
      <c r="C19" s="225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33</v>
      </c>
      <c r="B20" s="288" t="s">
        <v>7</v>
      </c>
      <c r="C20" s="288"/>
      <c r="D20" s="56"/>
      <c r="E20" s="56"/>
      <c r="F20" s="56"/>
      <c r="G20" s="56"/>
      <c r="H20" s="56"/>
    </row>
    <row r="21" spans="1:14" ht="26.25" customHeight="1" x14ac:dyDescent="0.4">
      <c r="A21" s="54" t="s">
        <v>34</v>
      </c>
      <c r="B21" s="288" t="s">
        <v>9</v>
      </c>
      <c r="C21" s="288"/>
      <c r="D21" s="288"/>
      <c r="E21" s="288"/>
      <c r="F21" s="288"/>
      <c r="G21" s="288"/>
      <c r="H21" s="288"/>
      <c r="I21" s="57"/>
    </row>
    <row r="22" spans="1:14" ht="26.25" customHeight="1" x14ac:dyDescent="0.4">
      <c r="A22" s="54" t="s">
        <v>35</v>
      </c>
      <c r="B22" s="58" t="s">
        <v>10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36</v>
      </c>
      <c r="B23" s="58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283" t="s">
        <v>123</v>
      </c>
      <c r="C26" s="283"/>
    </row>
    <row r="27" spans="1:14" ht="26.25" customHeight="1" x14ac:dyDescent="0.4">
      <c r="A27" s="62" t="s">
        <v>46</v>
      </c>
      <c r="B27" s="281" t="s">
        <v>124</v>
      </c>
      <c r="C27" s="281"/>
    </row>
    <row r="28" spans="1:14" ht="27" customHeight="1" x14ac:dyDescent="0.4">
      <c r="A28" s="62" t="s">
        <v>5</v>
      </c>
      <c r="B28" s="63">
        <v>99.8</v>
      </c>
    </row>
    <row r="29" spans="1:14" s="3" customFormat="1" ht="27" customHeight="1" x14ac:dyDescent="0.4">
      <c r="A29" s="62" t="s">
        <v>47</v>
      </c>
      <c r="B29" s="64">
        <v>0</v>
      </c>
      <c r="C29" s="258" t="s">
        <v>48</v>
      </c>
      <c r="D29" s="259"/>
      <c r="E29" s="259"/>
      <c r="F29" s="259"/>
      <c r="G29" s="260"/>
      <c r="I29" s="65"/>
      <c r="J29" s="65"/>
      <c r="K29" s="65"/>
      <c r="L29" s="65"/>
    </row>
    <row r="30" spans="1:14" s="3" customFormat="1" ht="19.5" customHeight="1" x14ac:dyDescent="0.3">
      <c r="A30" s="62" t="s">
        <v>49</v>
      </c>
      <c r="B30" s="66">
        <v>99.8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3" customFormat="1" ht="27" customHeight="1" x14ac:dyDescent="0.4">
      <c r="A31" s="62" t="s">
        <v>50</v>
      </c>
      <c r="B31" s="69">
        <v>1</v>
      </c>
      <c r="C31" s="261" t="s">
        <v>51</v>
      </c>
      <c r="D31" s="262"/>
      <c r="E31" s="262"/>
      <c r="F31" s="262"/>
      <c r="G31" s="262"/>
      <c r="H31" s="263"/>
      <c r="I31" s="65"/>
      <c r="J31" s="65"/>
      <c r="K31" s="65"/>
      <c r="L31" s="65"/>
    </row>
    <row r="32" spans="1:14" s="3" customFormat="1" ht="27" customHeight="1" x14ac:dyDescent="0.4">
      <c r="A32" s="62" t="s">
        <v>52</v>
      </c>
      <c r="B32" s="69">
        <v>1</v>
      </c>
      <c r="C32" s="261" t="s">
        <v>53</v>
      </c>
      <c r="D32" s="262"/>
      <c r="E32" s="262"/>
      <c r="F32" s="262"/>
      <c r="G32" s="262"/>
      <c r="H32" s="263"/>
      <c r="I32" s="65"/>
      <c r="J32" s="65"/>
      <c r="K32" s="65"/>
      <c r="L32" s="70"/>
      <c r="M32" s="70"/>
      <c r="N32" s="71"/>
    </row>
    <row r="33" spans="1:14" s="3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3" customFormat="1" ht="18.75" x14ac:dyDescent="0.3">
      <c r="A34" s="62" t="s">
        <v>54</v>
      </c>
      <c r="B34" s="74">
        <v>1</v>
      </c>
      <c r="C34" s="53" t="s">
        <v>55</v>
      </c>
      <c r="D34" s="53"/>
      <c r="E34" s="53"/>
      <c r="F34" s="53"/>
      <c r="G34" s="53"/>
      <c r="I34" s="65"/>
      <c r="J34" s="65"/>
      <c r="K34" s="65"/>
      <c r="L34" s="70"/>
      <c r="M34" s="70"/>
      <c r="N34" s="71"/>
    </row>
    <row r="35" spans="1:14" s="3" customFormat="1" ht="19.5" customHeight="1" x14ac:dyDescent="0.3">
      <c r="A35" s="62"/>
      <c r="B35" s="66"/>
      <c r="G35" s="53"/>
      <c r="I35" s="65"/>
      <c r="J35" s="65"/>
      <c r="K35" s="65"/>
      <c r="L35" s="70"/>
      <c r="M35" s="70"/>
      <c r="N35" s="71"/>
    </row>
    <row r="36" spans="1:14" s="3" customFormat="1" ht="27" customHeight="1" x14ac:dyDescent="0.4">
      <c r="A36" s="75" t="s">
        <v>56</v>
      </c>
      <c r="B36" s="76">
        <v>25</v>
      </c>
      <c r="C36" s="53"/>
      <c r="D36" s="264" t="s">
        <v>57</v>
      </c>
      <c r="E36" s="282"/>
      <c r="F36" s="264" t="s">
        <v>58</v>
      </c>
      <c r="G36" s="265"/>
      <c r="J36" s="65"/>
      <c r="K36" s="65"/>
      <c r="L36" s="70"/>
      <c r="M36" s="70"/>
      <c r="N36" s="71"/>
    </row>
    <row r="37" spans="1:14" s="3" customFormat="1" ht="27" customHeight="1" x14ac:dyDescent="0.4">
      <c r="A37" s="77" t="s">
        <v>59</v>
      </c>
      <c r="B37" s="78">
        <v>1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3" customFormat="1" ht="26.25" customHeight="1" x14ac:dyDescent="0.4">
      <c r="A38" s="77" t="s">
        <v>64</v>
      </c>
      <c r="B38" s="78">
        <v>1</v>
      </c>
      <c r="C38" s="84">
        <v>1</v>
      </c>
      <c r="D38" s="85">
        <v>538608850</v>
      </c>
      <c r="E38" s="86">
        <f>IF(ISBLANK(D38),"-",$D$48/$D$45*D38)</f>
        <v>575851714.09827769</v>
      </c>
      <c r="F38" s="85">
        <v>636628390</v>
      </c>
      <c r="G38" s="87">
        <f>IF(ISBLANK(F38),"-",$D$48/$F$45*F38)</f>
        <v>589560257.29833043</v>
      </c>
      <c r="I38" s="88"/>
      <c r="J38" s="65"/>
      <c r="K38" s="65"/>
      <c r="L38" s="70"/>
      <c r="M38" s="70"/>
      <c r="N38" s="71"/>
    </row>
    <row r="39" spans="1:14" s="3" customFormat="1" ht="26.25" customHeight="1" x14ac:dyDescent="0.4">
      <c r="A39" s="77" t="s">
        <v>65</v>
      </c>
      <c r="B39" s="78">
        <v>1</v>
      </c>
      <c r="C39" s="89">
        <v>2</v>
      </c>
      <c r="D39" s="90">
        <v>541338790</v>
      </c>
      <c r="E39" s="91">
        <f>IF(ISBLANK(D39),"-",$D$48/$D$45*D39)</f>
        <v>578770419.62713313</v>
      </c>
      <c r="F39" s="90">
        <v>638650160</v>
      </c>
      <c r="G39" s="92">
        <f>IF(ISBLANK(F39),"-",$D$48/$F$45*F39)</f>
        <v>591432550.86883557</v>
      </c>
      <c r="I39" s="266">
        <f>ABS((F43/D43*D42)-F42)/D42</f>
        <v>2.6059239669882214E-2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9">
        <v>3</v>
      </c>
      <c r="D40" s="90">
        <v>540697000</v>
      </c>
      <c r="E40" s="91">
        <f>IF(ISBLANK(D40),"-",$D$48/$D$45*D40)</f>
        <v>578084252.15775132</v>
      </c>
      <c r="F40" s="90">
        <v>637992950</v>
      </c>
      <c r="G40" s="92">
        <f>IF(ISBLANK(F40),"-",$D$48/$F$45*F40)</f>
        <v>590823930.67095363</v>
      </c>
      <c r="I40" s="266"/>
      <c r="L40" s="70"/>
      <c r="M40" s="70"/>
      <c r="N40" s="93"/>
    </row>
    <row r="41" spans="1:14" ht="27" customHeight="1" x14ac:dyDescent="0.4">
      <c r="A41" s="77" t="s">
        <v>67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">
      <c r="A42" s="77" t="s">
        <v>68</v>
      </c>
      <c r="B42" s="78">
        <v>1</v>
      </c>
      <c r="C42" s="99" t="s">
        <v>69</v>
      </c>
      <c r="D42" s="100">
        <f>AVERAGE(D38:D41)</f>
        <v>540214880</v>
      </c>
      <c r="E42" s="101">
        <f>AVERAGE(E38:E41)</f>
        <v>577568795.29438746</v>
      </c>
      <c r="F42" s="100">
        <f>AVERAGE(F38:F41)</f>
        <v>637757166.66666663</v>
      </c>
      <c r="G42" s="102">
        <f>AVERAGE(G38:G41)</f>
        <v>590605579.61270654</v>
      </c>
      <c r="H42" s="103"/>
    </row>
    <row r="43" spans="1:14" ht="26.25" customHeight="1" x14ac:dyDescent="0.4">
      <c r="A43" s="77" t="s">
        <v>70</v>
      </c>
      <c r="B43" s="78">
        <v>1</v>
      </c>
      <c r="C43" s="104" t="s">
        <v>71</v>
      </c>
      <c r="D43" s="105">
        <v>23.43</v>
      </c>
      <c r="E43" s="93"/>
      <c r="F43" s="105">
        <v>27.05</v>
      </c>
      <c r="H43" s="103"/>
    </row>
    <row r="44" spans="1:14" ht="26.25" customHeight="1" x14ac:dyDescent="0.4">
      <c r="A44" s="77" t="s">
        <v>72</v>
      </c>
      <c r="B44" s="78">
        <v>1</v>
      </c>
      <c r="C44" s="106" t="s">
        <v>73</v>
      </c>
      <c r="D44" s="107">
        <f>D43*$B$34</f>
        <v>23.43</v>
      </c>
      <c r="E44" s="108"/>
      <c r="F44" s="107">
        <f>F43*$B$34</f>
        <v>27.05</v>
      </c>
      <c r="H44" s="103"/>
    </row>
    <row r="45" spans="1:14" ht="19.5" customHeight="1" x14ac:dyDescent="0.3">
      <c r="A45" s="77" t="s">
        <v>74</v>
      </c>
      <c r="B45" s="109">
        <f>(B44/B43)*(B42/B41)*(B40/B39)*(B38/B37)*B36</f>
        <v>25</v>
      </c>
      <c r="C45" s="106" t="s">
        <v>75</v>
      </c>
      <c r="D45" s="110">
        <f>D43*B30/100</f>
        <v>23.383139999999997</v>
      </c>
      <c r="E45" s="111"/>
      <c r="F45" s="110">
        <f>F43*B28/100</f>
        <v>26.995900000000002</v>
      </c>
      <c r="H45" s="103"/>
    </row>
    <row r="46" spans="1:14" ht="19.5" customHeight="1" x14ac:dyDescent="0.3">
      <c r="A46" s="252" t="s">
        <v>76</v>
      </c>
      <c r="B46" s="253"/>
      <c r="C46" s="106" t="s">
        <v>77</v>
      </c>
      <c r="D46" s="112">
        <f>D45/$B$45</f>
        <v>0.93532559999999987</v>
      </c>
      <c r="E46" s="113"/>
      <c r="F46" s="114">
        <f>F45/$B$45</f>
        <v>1.079836</v>
      </c>
      <c r="H46" s="103"/>
    </row>
    <row r="47" spans="1:14" ht="27" customHeight="1" x14ac:dyDescent="0.4">
      <c r="A47" s="254"/>
      <c r="B47" s="255"/>
      <c r="C47" s="115" t="s">
        <v>78</v>
      </c>
      <c r="D47" s="116">
        <v>1</v>
      </c>
      <c r="E47" s="117"/>
      <c r="F47" s="113"/>
      <c r="H47" s="103"/>
    </row>
    <row r="48" spans="1:14" ht="18.75" x14ac:dyDescent="0.3">
      <c r="C48" s="118" t="s">
        <v>79</v>
      </c>
      <c r="D48" s="110">
        <f>D47*$B$45</f>
        <v>25</v>
      </c>
      <c r="F48" s="119"/>
      <c r="H48" s="103"/>
    </row>
    <row r="49" spans="1:12" ht="19.5" customHeight="1" x14ac:dyDescent="0.3">
      <c r="C49" s="120" t="s">
        <v>80</v>
      </c>
      <c r="D49" s="121">
        <f>D48/B34</f>
        <v>25</v>
      </c>
      <c r="F49" s="119"/>
      <c r="H49" s="103"/>
    </row>
    <row r="50" spans="1:12" ht="18.75" x14ac:dyDescent="0.3">
      <c r="C50" s="75" t="s">
        <v>81</v>
      </c>
      <c r="D50" s="122">
        <f>AVERAGE(E38:E41,G38:G41)</f>
        <v>584087187.453547</v>
      </c>
      <c r="F50" s="123"/>
      <c r="H50" s="103"/>
    </row>
    <row r="51" spans="1:12" ht="18.75" x14ac:dyDescent="0.3">
      <c r="C51" s="77" t="s">
        <v>82</v>
      </c>
      <c r="D51" s="124">
        <f>STDEV(E38:E41,G38:G41)/D50</f>
        <v>1.2379575700192021E-2</v>
      </c>
      <c r="F51" s="123"/>
      <c r="H51" s="103"/>
    </row>
    <row r="52" spans="1:12" ht="19.5" customHeight="1" x14ac:dyDescent="0.3">
      <c r="C52" s="125" t="s">
        <v>18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83</v>
      </c>
    </row>
    <row r="55" spans="1:12" ht="18.75" x14ac:dyDescent="0.3">
      <c r="A55" s="53" t="s">
        <v>84</v>
      </c>
      <c r="B55" s="129" t="str">
        <f>B21</f>
        <v>Each film-coated tablet contains Lopinavir 200 mg, Ritonavir 50 mg</v>
      </c>
    </row>
    <row r="56" spans="1:12" ht="26.25" customHeight="1" x14ac:dyDescent="0.4">
      <c r="A56" s="130" t="s">
        <v>85</v>
      </c>
      <c r="B56" s="131">
        <v>200</v>
      </c>
      <c r="C56" s="53" t="str">
        <f>B20</f>
        <v xml:space="preserve">Lopinavir/ Ritonavir </v>
      </c>
      <c r="H56" s="132"/>
    </row>
    <row r="57" spans="1:12" ht="18.75" x14ac:dyDescent="0.3">
      <c r="A57" s="129" t="s">
        <v>86</v>
      </c>
      <c r="B57" s="224">
        <f>Uniformity!C46</f>
        <v>1250.691</v>
      </c>
      <c r="H57" s="132"/>
    </row>
    <row r="58" spans="1:12" ht="19.5" customHeight="1" x14ac:dyDescent="0.3">
      <c r="H58" s="132"/>
    </row>
    <row r="59" spans="1:12" s="3" customFormat="1" ht="27" customHeight="1" x14ac:dyDescent="0.4">
      <c r="A59" s="75" t="s">
        <v>87</v>
      </c>
      <c r="B59" s="76">
        <v>100</v>
      </c>
      <c r="C59" s="53"/>
      <c r="D59" s="133" t="s">
        <v>88</v>
      </c>
      <c r="E59" s="134" t="s">
        <v>60</v>
      </c>
      <c r="F59" s="134" t="s">
        <v>61</v>
      </c>
      <c r="G59" s="134" t="s">
        <v>89</v>
      </c>
      <c r="H59" s="79" t="s">
        <v>90</v>
      </c>
      <c r="L59" s="65"/>
    </row>
    <row r="60" spans="1:12" s="3" customFormat="1" ht="26.25" customHeight="1" x14ac:dyDescent="0.4">
      <c r="A60" s="77" t="s">
        <v>91</v>
      </c>
      <c r="B60" s="78">
        <v>1</v>
      </c>
      <c r="C60" s="269" t="s">
        <v>92</v>
      </c>
      <c r="D60" s="272">
        <v>622.51</v>
      </c>
      <c r="E60" s="135">
        <v>1</v>
      </c>
      <c r="F60" s="136">
        <v>601835180</v>
      </c>
      <c r="G60" s="226">
        <f>IF(ISBLANK(F60),"-",(F60/$D$50*$D$47*$B$68)*($B$57/$D$60))</f>
        <v>207.01584293548297</v>
      </c>
      <c r="H60" s="137">
        <f>IF(ISBLANK(F60),"-",G60/$B$56)</f>
        <v>1.0350792146774148</v>
      </c>
      <c r="L60" s="65"/>
    </row>
    <row r="61" spans="1:12" s="3" customFormat="1" ht="26.25" customHeight="1" x14ac:dyDescent="0.4">
      <c r="A61" s="77" t="s">
        <v>93</v>
      </c>
      <c r="B61" s="78">
        <v>1</v>
      </c>
      <c r="C61" s="270"/>
      <c r="D61" s="273"/>
      <c r="E61" s="138">
        <v>2</v>
      </c>
      <c r="F61" s="90">
        <v>603088140</v>
      </c>
      <c r="G61" s="227">
        <f>IF(ISBLANK(F61),"-",(F61/$D$50*$D$47*$B$68)*($B$57/$D$60))</f>
        <v>207.44682899144013</v>
      </c>
      <c r="H61" s="139">
        <f t="shared" ref="H61:H70" si="0">IF(ISBLANK(F61),"-",G61/$B$56)</f>
        <v>1.0372341449572007</v>
      </c>
      <c r="L61" s="65"/>
    </row>
    <row r="62" spans="1:12" s="3" customFormat="1" ht="26.25" customHeight="1" x14ac:dyDescent="0.4">
      <c r="A62" s="77" t="s">
        <v>94</v>
      </c>
      <c r="B62" s="78">
        <v>1</v>
      </c>
      <c r="C62" s="270"/>
      <c r="D62" s="273"/>
      <c r="E62" s="138">
        <v>3</v>
      </c>
      <c r="F62" s="140">
        <v>602419010</v>
      </c>
      <c r="G62" s="227">
        <f>IF(ISBLANK(F62),"-",(F62/$D$50*$D$47*$B$68)*($B$57/$D$60))</f>
        <v>207.21666545898691</v>
      </c>
      <c r="H62" s="139">
        <f t="shared" si="0"/>
        <v>1.0360833272949346</v>
      </c>
      <c r="L62" s="65"/>
    </row>
    <row r="63" spans="1:12" ht="27" customHeight="1" x14ac:dyDescent="0.4">
      <c r="A63" s="77" t="s">
        <v>95</v>
      </c>
      <c r="B63" s="78">
        <v>1</v>
      </c>
      <c r="C63" s="280"/>
      <c r="D63" s="274"/>
      <c r="E63" s="141">
        <v>4</v>
      </c>
      <c r="F63" s="142"/>
      <c r="G63" s="227"/>
      <c r="H63" s="139"/>
    </row>
    <row r="64" spans="1:12" ht="26.25" customHeight="1" x14ac:dyDescent="0.4">
      <c r="A64" s="77" t="s">
        <v>96</v>
      </c>
      <c r="B64" s="78">
        <v>1</v>
      </c>
      <c r="C64" s="269" t="s">
        <v>97</v>
      </c>
      <c r="D64" s="272">
        <v>626.79</v>
      </c>
      <c r="E64" s="135">
        <v>1</v>
      </c>
      <c r="F64" s="136">
        <v>605990640</v>
      </c>
      <c r="G64" s="228">
        <f>IF(ISBLANK(F64),"-",(F64/$D$50*$D$47*$B$68)*($B$57/$D$64))</f>
        <v>207.02185810072231</v>
      </c>
      <c r="H64" s="143">
        <f>IF(ISBLANK(F64),"-",G64/$B$56)</f>
        <v>1.0351092905036117</v>
      </c>
    </row>
    <row r="65" spans="1:10" ht="26.25" customHeight="1" x14ac:dyDescent="0.4">
      <c r="A65" s="77" t="s">
        <v>98</v>
      </c>
      <c r="B65" s="78">
        <v>1</v>
      </c>
      <c r="C65" s="270"/>
      <c r="D65" s="273"/>
      <c r="E65" s="138">
        <v>2</v>
      </c>
      <c r="F65" s="90">
        <v>611298240</v>
      </c>
      <c r="G65" s="229">
        <f>IF(ISBLANK(F65),"-",(F65/$D$50*$D$47*$B$68)*($B$57/$D$64))</f>
        <v>208.83506962830532</v>
      </c>
      <c r="H65" s="144">
        <f>IF(ISBLANK(F65),"-",G65/$B$56)</f>
        <v>1.0441753481415266</v>
      </c>
    </row>
    <row r="66" spans="1:10" ht="26.25" customHeight="1" x14ac:dyDescent="0.4">
      <c r="A66" s="77" t="s">
        <v>99</v>
      </c>
      <c r="B66" s="78">
        <v>1</v>
      </c>
      <c r="C66" s="270"/>
      <c r="D66" s="273"/>
      <c r="E66" s="138">
        <v>3</v>
      </c>
      <c r="F66" s="90">
        <v>616483310</v>
      </c>
      <c r="G66" s="229">
        <f>IF(ISBLANK(F66),"-",(F66/$D$50*$D$47*$B$68)*($B$57/$D$64))</f>
        <v>210.60642178282424</v>
      </c>
      <c r="H66" s="144">
        <f t="shared" si="0"/>
        <v>1.0530321089141212</v>
      </c>
    </row>
    <row r="67" spans="1:10" ht="27" customHeight="1" x14ac:dyDescent="0.4">
      <c r="A67" s="77" t="s">
        <v>100</v>
      </c>
      <c r="B67" s="78">
        <v>1</v>
      </c>
      <c r="C67" s="280"/>
      <c r="D67" s="274"/>
      <c r="E67" s="141">
        <v>4</v>
      </c>
      <c r="F67" s="142"/>
      <c r="G67" s="230"/>
      <c r="H67" s="145"/>
    </row>
    <row r="68" spans="1:10" ht="26.25" customHeight="1" x14ac:dyDescent="0.4">
      <c r="A68" s="77" t="s">
        <v>101</v>
      </c>
      <c r="B68" s="146">
        <f>(B67/B66)*(B65/B64)*(B63/B62)*(B61/B60)*B59</f>
        <v>100</v>
      </c>
      <c r="C68" s="269" t="s">
        <v>102</v>
      </c>
      <c r="D68" s="272">
        <v>627.66</v>
      </c>
      <c r="E68" s="135">
        <v>1</v>
      </c>
      <c r="F68" s="136">
        <v>611069940</v>
      </c>
      <c r="G68" s="228">
        <f>IF(ISBLANK(F68),"-",(F68/$D$50*$D$47*$B$68)*($B$57/$D$68))</f>
        <v>208.46771818420973</v>
      </c>
      <c r="H68" s="139">
        <f>IF(ISBLANK(F68),"-",G68/$B$56)</f>
        <v>1.0423385909210487</v>
      </c>
      <c r="J68" s="2" t="s">
        <v>126</v>
      </c>
    </row>
    <row r="69" spans="1:10" ht="27" customHeight="1" x14ac:dyDescent="0.4">
      <c r="A69" s="125" t="s">
        <v>103</v>
      </c>
      <c r="B69" s="147">
        <f>(D47*B68)/B56*B57</f>
        <v>625.34550000000002</v>
      </c>
      <c r="C69" s="270"/>
      <c r="D69" s="273"/>
      <c r="E69" s="138">
        <v>2</v>
      </c>
      <c r="F69" s="90">
        <v>611511990</v>
      </c>
      <c r="G69" s="229">
        <f>IF(ISBLANK(F69),"-",(F69/$D$50*$D$47*$B$68)*($B$57/$D$68))</f>
        <v>208.61852441569172</v>
      </c>
      <c r="H69" s="139">
        <f>IF(ISBLANK(F69),"-",G69/$B$56)</f>
        <v>1.0430926220784587</v>
      </c>
    </row>
    <row r="70" spans="1:10" ht="26.25" customHeight="1" x14ac:dyDescent="0.4">
      <c r="A70" s="275" t="s">
        <v>76</v>
      </c>
      <c r="B70" s="276"/>
      <c r="C70" s="270"/>
      <c r="D70" s="273"/>
      <c r="E70" s="138">
        <v>3</v>
      </c>
      <c r="F70" s="90">
        <v>610735990</v>
      </c>
      <c r="G70" s="229">
        <f>IF(ISBLANK(F70),"-",(F70/$D$50*$D$47*$B$68)*($B$57/$D$68))</f>
        <v>208.35379048145344</v>
      </c>
      <c r="H70" s="139">
        <f t="shared" si="0"/>
        <v>1.0417689524072673</v>
      </c>
    </row>
    <row r="71" spans="1:10" ht="27" customHeight="1" x14ac:dyDescent="0.4">
      <c r="A71" s="277"/>
      <c r="B71" s="278"/>
      <c r="C71" s="271"/>
      <c r="D71" s="274"/>
      <c r="E71" s="141">
        <v>4</v>
      </c>
      <c r="F71" s="142"/>
      <c r="G71" s="230"/>
      <c r="H71" s="148"/>
    </row>
    <row r="72" spans="1:10" ht="26.25" customHeight="1" x14ac:dyDescent="0.4">
      <c r="A72" s="149"/>
      <c r="B72" s="149"/>
      <c r="C72" s="149"/>
      <c r="D72" s="149"/>
      <c r="E72" s="149"/>
      <c r="F72" s="150"/>
      <c r="G72" s="151" t="s">
        <v>69</v>
      </c>
      <c r="H72" s="152">
        <f>AVERAGE(H60:H71)</f>
        <v>1.0408792888772871</v>
      </c>
    </row>
    <row r="73" spans="1:10" ht="26.25" customHeight="1" x14ac:dyDescent="0.4">
      <c r="C73" s="149"/>
      <c r="D73" s="149"/>
      <c r="E73" s="149"/>
      <c r="F73" s="150"/>
      <c r="G73" s="153" t="s">
        <v>82</v>
      </c>
      <c r="H73" s="231">
        <f>STDEV(H60:H71)/H72</f>
        <v>5.5771480989265428E-3</v>
      </c>
    </row>
    <row r="74" spans="1:10" ht="27" customHeight="1" x14ac:dyDescent="0.4">
      <c r="A74" s="149"/>
      <c r="B74" s="149"/>
      <c r="C74" s="150"/>
      <c r="D74" s="150"/>
      <c r="E74" s="154"/>
      <c r="F74" s="150"/>
      <c r="G74" s="155" t="s">
        <v>18</v>
      </c>
      <c r="H74" s="156">
        <f>COUNT(H60:H71)</f>
        <v>9</v>
      </c>
    </row>
    <row r="76" spans="1:10" ht="26.25" customHeight="1" x14ac:dyDescent="0.4">
      <c r="A76" s="61" t="s">
        <v>104</v>
      </c>
      <c r="B76" s="157" t="s">
        <v>105</v>
      </c>
      <c r="C76" s="256" t="str">
        <f>B20</f>
        <v xml:space="preserve">Lopinavir/ Ritonavir </v>
      </c>
      <c r="D76" s="256"/>
      <c r="E76" s="158" t="s">
        <v>106</v>
      </c>
      <c r="F76" s="158"/>
      <c r="G76" s="159">
        <f>H72</f>
        <v>1.0408792888772871</v>
      </c>
      <c r="H76" s="160"/>
    </row>
    <row r="77" spans="1:10" ht="18.75" x14ac:dyDescent="0.3">
      <c r="A77" s="60" t="s">
        <v>107</v>
      </c>
      <c r="B77" s="60" t="s">
        <v>108</v>
      </c>
    </row>
    <row r="78" spans="1:10" ht="18.75" x14ac:dyDescent="0.3">
      <c r="A78" s="60"/>
      <c r="B78" s="60"/>
    </row>
    <row r="79" spans="1:10" ht="26.25" customHeight="1" x14ac:dyDescent="0.4">
      <c r="A79" s="61" t="s">
        <v>4</v>
      </c>
      <c r="B79" s="279" t="str">
        <f>B26</f>
        <v>Lopinavir</v>
      </c>
      <c r="C79" s="279"/>
    </row>
    <row r="80" spans="1:10" ht="26.25" customHeight="1" x14ac:dyDescent="0.4">
      <c r="A80" s="62" t="s">
        <v>46</v>
      </c>
      <c r="B80" s="279" t="str">
        <f>B27</f>
        <v>L21-1</v>
      </c>
      <c r="C80" s="279"/>
    </row>
    <row r="81" spans="1:12" ht="27" customHeight="1" x14ac:dyDescent="0.4">
      <c r="A81" s="62" t="s">
        <v>5</v>
      </c>
      <c r="B81" s="161">
        <f>B28</f>
        <v>99.8</v>
      </c>
    </row>
    <row r="82" spans="1:12" s="3" customFormat="1" ht="27" customHeight="1" x14ac:dyDescent="0.4">
      <c r="A82" s="62" t="s">
        <v>47</v>
      </c>
      <c r="B82" s="64">
        <v>0</v>
      </c>
      <c r="C82" s="258" t="s">
        <v>48</v>
      </c>
      <c r="D82" s="259"/>
      <c r="E82" s="259"/>
      <c r="F82" s="259"/>
      <c r="G82" s="260"/>
      <c r="I82" s="65"/>
      <c r="J82" s="65"/>
      <c r="K82" s="65"/>
      <c r="L82" s="65"/>
    </row>
    <row r="83" spans="1:12" s="3" customFormat="1" ht="19.5" customHeight="1" x14ac:dyDescent="0.3">
      <c r="A83" s="62" t="s">
        <v>49</v>
      </c>
      <c r="B83" s="66">
        <f>B81-B82</f>
        <v>99.8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3" customFormat="1" ht="27" customHeight="1" x14ac:dyDescent="0.4">
      <c r="A84" s="62" t="s">
        <v>50</v>
      </c>
      <c r="B84" s="69">
        <v>154.46</v>
      </c>
      <c r="C84" s="261" t="s">
        <v>109</v>
      </c>
      <c r="D84" s="262"/>
      <c r="E84" s="262"/>
      <c r="F84" s="262"/>
      <c r="G84" s="262"/>
      <c r="H84" s="263"/>
      <c r="I84" s="65"/>
      <c r="J84" s="65"/>
      <c r="K84" s="65"/>
      <c r="L84" s="65"/>
    </row>
    <row r="85" spans="1:12" s="3" customFormat="1" ht="27" customHeight="1" x14ac:dyDescent="0.4">
      <c r="A85" s="62" t="s">
        <v>52</v>
      </c>
      <c r="B85" s="69">
        <v>165.23</v>
      </c>
      <c r="C85" s="261" t="s">
        <v>110</v>
      </c>
      <c r="D85" s="262"/>
      <c r="E85" s="262"/>
      <c r="F85" s="262"/>
      <c r="G85" s="262"/>
      <c r="H85" s="263"/>
      <c r="I85" s="65"/>
      <c r="J85" s="65"/>
      <c r="K85" s="65"/>
      <c r="L85" s="65"/>
    </row>
    <row r="86" spans="1:12" s="3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3" customFormat="1" ht="18.75" x14ac:dyDescent="0.3">
      <c r="A87" s="62" t="s">
        <v>54</v>
      </c>
      <c r="B87" s="74">
        <f>B84/B85</f>
        <v>0.93481813230042976</v>
      </c>
      <c r="C87" s="53" t="s">
        <v>55</v>
      </c>
      <c r="D87" s="53"/>
      <c r="E87" s="53"/>
      <c r="F87" s="53"/>
      <c r="G87" s="53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76">
        <v>25</v>
      </c>
      <c r="D89" s="162" t="s">
        <v>57</v>
      </c>
      <c r="E89" s="163"/>
      <c r="F89" s="264" t="s">
        <v>58</v>
      </c>
      <c r="G89" s="265"/>
    </row>
    <row r="90" spans="1:12" ht="27" customHeight="1" x14ac:dyDescent="0.4">
      <c r="A90" s="77" t="s">
        <v>59</v>
      </c>
      <c r="B90" s="78">
        <v>4</v>
      </c>
      <c r="C90" s="164" t="s">
        <v>60</v>
      </c>
      <c r="D90" s="80" t="s">
        <v>61</v>
      </c>
      <c r="E90" s="81" t="s">
        <v>62</v>
      </c>
      <c r="F90" s="80" t="s">
        <v>61</v>
      </c>
      <c r="G90" s="165" t="s">
        <v>62</v>
      </c>
      <c r="I90" s="83" t="s">
        <v>63</v>
      </c>
    </row>
    <row r="91" spans="1:12" ht="26.25" customHeight="1" x14ac:dyDescent="0.4">
      <c r="A91" s="77" t="s">
        <v>64</v>
      </c>
      <c r="B91" s="78">
        <v>200</v>
      </c>
      <c r="C91" s="166">
        <v>1</v>
      </c>
      <c r="D91" s="85">
        <v>52522362</v>
      </c>
      <c r="E91" s="86">
        <f>IF(ISBLANK(D91),"-",$D$101/$D$98*D91)</f>
        <v>62253596.133263767</v>
      </c>
      <c r="F91" s="85">
        <v>53289728</v>
      </c>
      <c r="G91" s="87">
        <f>IF(ISBLANK(F91),"-",$D$101/$F$98*F91)</f>
        <v>61546083.373475067</v>
      </c>
      <c r="I91" s="88"/>
    </row>
    <row r="92" spans="1:12" ht="26.25" customHeight="1" x14ac:dyDescent="0.4">
      <c r="A92" s="77" t="s">
        <v>65</v>
      </c>
      <c r="B92" s="78">
        <v>1</v>
      </c>
      <c r="C92" s="150">
        <v>2</v>
      </c>
      <c r="D92" s="90">
        <v>52553125</v>
      </c>
      <c r="E92" s="91">
        <f>IF(ISBLANK(D92),"-",$D$101/$D$98*D92)</f>
        <v>62290058.838003658</v>
      </c>
      <c r="F92" s="90">
        <v>53121237</v>
      </c>
      <c r="G92" s="92">
        <f>IF(ISBLANK(F92),"-",$D$101/$F$98*F92)</f>
        <v>61351487.500632927</v>
      </c>
      <c r="I92" s="266">
        <f>ABS((F96/D96*D95)-F95)/D95</f>
        <v>9.1663928758481394E-3</v>
      </c>
    </row>
    <row r="93" spans="1:12" ht="26.25" customHeight="1" x14ac:dyDescent="0.4">
      <c r="A93" s="77" t="s">
        <v>66</v>
      </c>
      <c r="B93" s="78">
        <v>1</v>
      </c>
      <c r="C93" s="150">
        <v>3</v>
      </c>
      <c r="D93" s="90">
        <v>52565096</v>
      </c>
      <c r="E93" s="91">
        <f>IF(ISBLANK(D93),"-",$D$101/$D$98*D93)</f>
        <v>62304247.800017804</v>
      </c>
      <c r="F93" s="90">
        <v>54057613</v>
      </c>
      <c r="G93" s="92">
        <f>IF(ISBLANK(F93),"-",$D$101/$F$98*F93)</f>
        <v>62432939.358764403</v>
      </c>
      <c r="I93" s="266"/>
    </row>
    <row r="94" spans="1:12" ht="27" customHeight="1" x14ac:dyDescent="0.4">
      <c r="A94" s="77" t="s">
        <v>67</v>
      </c>
      <c r="B94" s="78">
        <v>1</v>
      </c>
      <c r="C94" s="167">
        <v>4</v>
      </c>
      <c r="D94" s="95">
        <v>52522362</v>
      </c>
      <c r="E94" s="96">
        <f>IF(ISBLANK(D94),"-",$D$101/$D$98*D94)</f>
        <v>62253596.133263767</v>
      </c>
      <c r="F94" s="168">
        <v>53289728</v>
      </c>
      <c r="G94" s="97">
        <f>IF(ISBLANK(F94),"-",$D$101/$F$98*F94)</f>
        <v>61546083.373475067</v>
      </c>
      <c r="I94" s="98"/>
    </row>
    <row r="95" spans="1:12" ht="27" customHeight="1" x14ac:dyDescent="0.4">
      <c r="A95" s="77" t="s">
        <v>68</v>
      </c>
      <c r="B95" s="78">
        <v>1</v>
      </c>
      <c r="C95" s="169" t="s">
        <v>69</v>
      </c>
      <c r="D95" s="170">
        <f>AVERAGE(D91:D94)</f>
        <v>52540736.25</v>
      </c>
      <c r="E95" s="101">
        <f>AVERAGE(E91:E94)</f>
        <v>62275374.726137251</v>
      </c>
      <c r="F95" s="171">
        <f>AVERAGE(F91:F94)</f>
        <v>53439576.5</v>
      </c>
      <c r="G95" s="172">
        <f>AVERAGE(G91:G94)</f>
        <v>61719148.401586868</v>
      </c>
    </row>
    <row r="96" spans="1:12" ht="26.25" customHeight="1" x14ac:dyDescent="0.4">
      <c r="A96" s="77" t="s">
        <v>70</v>
      </c>
      <c r="B96" s="63">
        <v>1</v>
      </c>
      <c r="C96" s="173" t="s">
        <v>111</v>
      </c>
      <c r="D96" s="174">
        <v>25.12</v>
      </c>
      <c r="E96" s="93"/>
      <c r="F96" s="105">
        <v>25.78</v>
      </c>
    </row>
    <row r="97" spans="1:10" ht="26.25" customHeight="1" x14ac:dyDescent="0.4">
      <c r="A97" s="77" t="s">
        <v>72</v>
      </c>
      <c r="B97" s="63">
        <v>1</v>
      </c>
      <c r="C97" s="175" t="s">
        <v>112</v>
      </c>
      <c r="D97" s="176">
        <f>D96*$B$87</f>
        <v>23.482631483386797</v>
      </c>
      <c r="E97" s="108"/>
      <c r="F97" s="107">
        <f>F96*$B$87</f>
        <v>24.09961145070508</v>
      </c>
    </row>
    <row r="98" spans="1:10" ht="19.5" customHeight="1" x14ac:dyDescent="0.3">
      <c r="A98" s="77" t="s">
        <v>74</v>
      </c>
      <c r="B98" s="177">
        <f>(B97/B96)*(B95/B94)*(B93/B92)*(B91/B90)*B89</f>
        <v>1250</v>
      </c>
      <c r="C98" s="175" t="s">
        <v>113</v>
      </c>
      <c r="D98" s="178">
        <f>D97*$B$83/100</f>
        <v>23.435666220420021</v>
      </c>
      <c r="E98" s="111"/>
      <c r="F98" s="110">
        <f>F97*$B$83/100</f>
        <v>24.05141222780367</v>
      </c>
    </row>
    <row r="99" spans="1:10" ht="19.5" customHeight="1" x14ac:dyDescent="0.3">
      <c r="A99" s="252" t="s">
        <v>76</v>
      </c>
      <c r="B99" s="267"/>
      <c r="C99" s="175" t="s">
        <v>114</v>
      </c>
      <c r="D99" s="179">
        <f>D98/$B$98</f>
        <v>1.8748532976336017E-2</v>
      </c>
      <c r="E99" s="111"/>
      <c r="F99" s="114">
        <f>F98/$B$98</f>
        <v>1.9241129782242936E-2</v>
      </c>
      <c r="G99" s="180"/>
      <c r="H99" s="103"/>
    </row>
    <row r="100" spans="1:10" ht="19.5" customHeight="1" x14ac:dyDescent="0.3">
      <c r="A100" s="254"/>
      <c r="B100" s="268"/>
      <c r="C100" s="175" t="s">
        <v>78</v>
      </c>
      <c r="D100" s="181">
        <f>$B$56/$B$116</f>
        <v>2.2222222222222223E-2</v>
      </c>
      <c r="F100" s="119"/>
      <c r="G100" s="182"/>
      <c r="H100" s="103"/>
    </row>
    <row r="101" spans="1:10" ht="18.75" x14ac:dyDescent="0.3">
      <c r="C101" s="175" t="s">
        <v>79</v>
      </c>
      <c r="D101" s="176">
        <f>D100*$B$98</f>
        <v>27.777777777777779</v>
      </c>
      <c r="F101" s="119"/>
      <c r="G101" s="180"/>
      <c r="H101" s="103"/>
    </row>
    <row r="102" spans="1:10" ht="19.5" customHeight="1" x14ac:dyDescent="0.3">
      <c r="C102" s="183" t="s">
        <v>80</v>
      </c>
      <c r="D102" s="184">
        <f>D101/B34</f>
        <v>27.777777777777779</v>
      </c>
      <c r="F102" s="123"/>
      <c r="G102" s="180"/>
      <c r="H102" s="103"/>
      <c r="J102" s="185"/>
    </row>
    <row r="103" spans="1:10" ht="18.75" x14ac:dyDescent="0.3">
      <c r="C103" s="186" t="s">
        <v>115</v>
      </c>
      <c r="D103" s="187">
        <f>AVERAGE(E91:E94,G91:G94)</f>
        <v>61997261.563862063</v>
      </c>
      <c r="F103" s="123"/>
      <c r="G103" s="188"/>
      <c r="H103" s="103"/>
      <c r="J103" s="189"/>
    </row>
    <row r="104" spans="1:10" ht="18.75" x14ac:dyDescent="0.3">
      <c r="C104" s="153" t="s">
        <v>82</v>
      </c>
      <c r="D104" s="190">
        <f>STDEV(E91:E94,G91:G94)/D103</f>
        <v>7.0184870796218069E-3</v>
      </c>
      <c r="F104" s="123"/>
      <c r="G104" s="180"/>
      <c r="H104" s="103"/>
      <c r="J104" s="189"/>
    </row>
    <row r="105" spans="1:10" ht="19.5" customHeight="1" x14ac:dyDescent="0.3">
      <c r="C105" s="155" t="s">
        <v>18</v>
      </c>
      <c r="D105" s="191">
        <f>COUNT(E91:E94,G91:G94)</f>
        <v>8</v>
      </c>
      <c r="F105" s="123"/>
      <c r="G105" s="180"/>
      <c r="H105" s="103"/>
      <c r="J105" s="189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6.25" customHeight="1" x14ac:dyDescent="0.4">
      <c r="A107" s="75" t="s">
        <v>116</v>
      </c>
      <c r="B107" s="76">
        <v>900</v>
      </c>
      <c r="C107" s="192" t="s">
        <v>117</v>
      </c>
      <c r="D107" s="193" t="s">
        <v>61</v>
      </c>
      <c r="E107" s="194" t="s">
        <v>118</v>
      </c>
      <c r="F107" s="195" t="s">
        <v>119</v>
      </c>
    </row>
    <row r="108" spans="1:10" ht="26.25" customHeight="1" x14ac:dyDescent="0.4">
      <c r="A108" s="77" t="s">
        <v>120</v>
      </c>
      <c r="B108" s="78">
        <v>5</v>
      </c>
      <c r="C108" s="196">
        <v>1</v>
      </c>
      <c r="D108" s="197">
        <v>87619284</v>
      </c>
      <c r="E108" s="232">
        <f t="shared" ref="E108:E113" si="1">IF(ISBLANK(D108),"-",D108/$D$103*$D$100*$B$116)</f>
        <v>282.65533602559282</v>
      </c>
      <c r="F108" s="198">
        <f t="shared" ref="F108:F113" si="2">IF(ISBLANK(D108), "-", E108/$B$56)</f>
        <v>1.4132766801279641</v>
      </c>
    </row>
    <row r="109" spans="1:10" ht="26.25" customHeight="1" x14ac:dyDescent="0.4">
      <c r="A109" s="77" t="s">
        <v>93</v>
      </c>
      <c r="B109" s="78">
        <v>50</v>
      </c>
      <c r="C109" s="196">
        <v>2</v>
      </c>
      <c r="D109" s="197">
        <v>87231228</v>
      </c>
      <c r="E109" s="233">
        <f t="shared" si="1"/>
        <v>281.40348718513951</v>
      </c>
      <c r="F109" s="199">
        <f t="shared" si="2"/>
        <v>1.4070174359256975</v>
      </c>
    </row>
    <row r="110" spans="1:10" ht="26.25" customHeight="1" x14ac:dyDescent="0.4">
      <c r="A110" s="77" t="s">
        <v>94</v>
      </c>
      <c r="B110" s="78">
        <v>1</v>
      </c>
      <c r="C110" s="196">
        <v>3</v>
      </c>
      <c r="D110" s="197">
        <v>87224653</v>
      </c>
      <c r="E110" s="233">
        <f t="shared" si="1"/>
        <v>281.38227657088282</v>
      </c>
      <c r="F110" s="199">
        <f t="shared" si="2"/>
        <v>1.4069113828544142</v>
      </c>
    </row>
    <row r="111" spans="1:10" ht="26.25" customHeight="1" x14ac:dyDescent="0.4">
      <c r="A111" s="77" t="s">
        <v>95</v>
      </c>
      <c r="B111" s="78">
        <v>1</v>
      </c>
      <c r="C111" s="196">
        <v>4</v>
      </c>
      <c r="D111" s="197">
        <v>86491264</v>
      </c>
      <c r="E111" s="233">
        <f t="shared" si="1"/>
        <v>279.01640110638499</v>
      </c>
      <c r="F111" s="199">
        <f t="shared" si="2"/>
        <v>1.3950820055319249</v>
      </c>
    </row>
    <row r="112" spans="1:10" ht="26.25" customHeight="1" x14ac:dyDescent="0.4">
      <c r="A112" s="77" t="s">
        <v>96</v>
      </c>
      <c r="B112" s="78">
        <v>1</v>
      </c>
      <c r="C112" s="196">
        <v>5</v>
      </c>
      <c r="D112" s="197">
        <v>88080316</v>
      </c>
      <c r="E112" s="233">
        <f t="shared" si="1"/>
        <v>284.14260171562688</v>
      </c>
      <c r="F112" s="199">
        <f t="shared" si="2"/>
        <v>1.4207130085781343</v>
      </c>
    </row>
    <row r="113" spans="1:10" ht="26.25" customHeight="1" x14ac:dyDescent="0.4">
      <c r="A113" s="77" t="s">
        <v>98</v>
      </c>
      <c r="B113" s="78">
        <v>1</v>
      </c>
      <c r="C113" s="200">
        <v>6</v>
      </c>
      <c r="D113" s="201">
        <v>87568449</v>
      </c>
      <c r="E113" s="234">
        <f t="shared" si="1"/>
        <v>282.49134491141223</v>
      </c>
      <c r="F113" s="202">
        <f t="shared" si="2"/>
        <v>1.4124567245570612</v>
      </c>
    </row>
    <row r="114" spans="1:10" ht="26.25" customHeight="1" x14ac:dyDescent="0.4">
      <c r="A114" s="77" t="s">
        <v>99</v>
      </c>
      <c r="B114" s="78">
        <v>1</v>
      </c>
      <c r="C114" s="196"/>
      <c r="D114" s="150"/>
      <c r="E114" s="52"/>
      <c r="F114" s="203"/>
    </row>
    <row r="115" spans="1:10" ht="26.25" customHeight="1" x14ac:dyDescent="0.4">
      <c r="A115" s="77" t="s">
        <v>100</v>
      </c>
      <c r="B115" s="78">
        <v>1</v>
      </c>
      <c r="C115" s="196"/>
      <c r="D115" s="204"/>
      <c r="E115" s="205" t="s">
        <v>69</v>
      </c>
      <c r="F115" s="206">
        <f>AVERAGE(F108:F113)</f>
        <v>1.4092428729291993</v>
      </c>
    </row>
    <row r="116" spans="1:10" ht="27" customHeight="1" x14ac:dyDescent="0.4">
      <c r="A116" s="77" t="s">
        <v>101</v>
      </c>
      <c r="B116" s="109">
        <f>(B115/B114)*(B113/B112)*(B111/B110)*(B109/B108)*B107</f>
        <v>9000</v>
      </c>
      <c r="C116" s="207"/>
      <c r="D116" s="208"/>
      <c r="E116" s="169" t="s">
        <v>82</v>
      </c>
      <c r="F116" s="209">
        <f>STDEV(F108:F113)/F115</f>
        <v>6.0966490078912172E-3</v>
      </c>
      <c r="I116" s="52"/>
    </row>
    <row r="117" spans="1:10" ht="27" customHeight="1" x14ac:dyDescent="0.4">
      <c r="A117" s="252" t="s">
        <v>76</v>
      </c>
      <c r="B117" s="253"/>
      <c r="C117" s="210"/>
      <c r="D117" s="211"/>
      <c r="E117" s="212" t="s">
        <v>18</v>
      </c>
      <c r="F117" s="213">
        <f>COUNT(F108:F113)</f>
        <v>6</v>
      </c>
      <c r="I117" s="52"/>
      <c r="J117" s="189"/>
    </row>
    <row r="118" spans="1:10" ht="19.5" customHeight="1" x14ac:dyDescent="0.3">
      <c r="A118" s="254"/>
      <c r="B118" s="255"/>
      <c r="C118" s="52"/>
      <c r="D118" s="52"/>
      <c r="E118" s="52"/>
      <c r="F118" s="150"/>
      <c r="G118" s="52"/>
      <c r="H118" s="52"/>
      <c r="I118" s="52"/>
    </row>
    <row r="119" spans="1:10" ht="18.75" x14ac:dyDescent="0.3">
      <c r="A119" s="222"/>
      <c r="B119" s="73"/>
      <c r="C119" s="52"/>
      <c r="D119" s="52"/>
      <c r="E119" s="52"/>
      <c r="F119" s="150"/>
      <c r="G119" s="52"/>
      <c r="H119" s="52"/>
      <c r="I119" s="52"/>
    </row>
    <row r="120" spans="1:10" ht="26.25" customHeight="1" x14ac:dyDescent="0.4">
      <c r="A120" s="61" t="s">
        <v>104</v>
      </c>
      <c r="B120" s="157" t="s">
        <v>121</v>
      </c>
      <c r="C120" s="256" t="str">
        <f>B20</f>
        <v xml:space="preserve">Lopinavir/ Ritonavir </v>
      </c>
      <c r="D120" s="256"/>
      <c r="E120" s="158" t="s">
        <v>122</v>
      </c>
      <c r="F120" s="158"/>
      <c r="G120" s="159">
        <f>F115</f>
        <v>1.4092428729291993</v>
      </c>
      <c r="H120" s="52"/>
      <c r="I120" s="52"/>
    </row>
    <row r="121" spans="1:10" ht="19.5" customHeight="1" x14ac:dyDescent="0.3">
      <c r="A121" s="214"/>
      <c r="B121" s="214"/>
      <c r="C121" s="215"/>
      <c r="D121" s="215"/>
      <c r="E121" s="215"/>
      <c r="F121" s="215"/>
      <c r="G121" s="215"/>
      <c r="H121" s="215"/>
    </row>
    <row r="122" spans="1:10" ht="18.75" x14ac:dyDescent="0.3">
      <c r="B122" s="257" t="s">
        <v>24</v>
      </c>
      <c r="C122" s="257"/>
      <c r="E122" s="164" t="s">
        <v>25</v>
      </c>
      <c r="F122" s="216"/>
      <c r="G122" s="257" t="s">
        <v>26</v>
      </c>
      <c r="H122" s="257"/>
    </row>
    <row r="123" spans="1:10" ht="69.95" customHeight="1" x14ac:dyDescent="0.3">
      <c r="A123" s="217" t="s">
        <v>27</v>
      </c>
      <c r="B123" s="218"/>
      <c r="C123" s="218"/>
      <c r="E123" s="218"/>
      <c r="F123" s="52"/>
      <c r="G123" s="219"/>
      <c r="H123" s="219"/>
    </row>
    <row r="124" spans="1:10" ht="69.95" customHeight="1" x14ac:dyDescent="0.3">
      <c r="A124" s="217" t="s">
        <v>28</v>
      </c>
      <c r="B124" s="220"/>
      <c r="C124" s="220"/>
      <c r="E124" s="220"/>
      <c r="F124" s="52"/>
      <c r="G124" s="221"/>
      <c r="H124" s="221"/>
    </row>
    <row r="125" spans="1:10" ht="18.75" x14ac:dyDescent="0.3">
      <c r="A125" s="149"/>
      <c r="B125" s="149"/>
      <c r="C125" s="150"/>
      <c r="D125" s="150"/>
      <c r="E125" s="150"/>
      <c r="F125" s="154"/>
      <c r="G125" s="150"/>
      <c r="H125" s="150"/>
      <c r="I125" s="52"/>
    </row>
    <row r="126" spans="1:10" ht="18.75" x14ac:dyDescent="0.3">
      <c r="A126" s="149"/>
      <c r="B126" s="149"/>
      <c r="C126" s="150"/>
      <c r="D126" s="150"/>
      <c r="E126" s="150"/>
      <c r="F126" s="154"/>
      <c r="G126" s="150"/>
      <c r="H126" s="150"/>
      <c r="I126" s="52"/>
    </row>
    <row r="127" spans="1:10" ht="18.75" x14ac:dyDescent="0.3">
      <c r="A127" s="149"/>
      <c r="B127" s="149"/>
      <c r="C127" s="150"/>
      <c r="D127" s="150"/>
      <c r="E127" s="150"/>
      <c r="F127" s="154"/>
      <c r="G127" s="150"/>
      <c r="H127" s="150"/>
      <c r="I127" s="52"/>
    </row>
    <row r="128" spans="1:10" ht="18.75" x14ac:dyDescent="0.3">
      <c r="A128" s="149"/>
      <c r="B128" s="149"/>
      <c r="C128" s="150"/>
      <c r="D128" s="150"/>
      <c r="E128" s="150"/>
      <c r="F128" s="154"/>
      <c r="G128" s="150"/>
      <c r="H128" s="150"/>
      <c r="I128" s="52"/>
    </row>
    <row r="129" spans="1:9" ht="18.75" x14ac:dyDescent="0.3">
      <c r="A129" s="149"/>
      <c r="B129" s="149"/>
      <c r="C129" s="150"/>
      <c r="D129" s="150"/>
      <c r="E129" s="150"/>
      <c r="F129" s="154"/>
      <c r="G129" s="150"/>
      <c r="H129" s="150"/>
      <c r="I129" s="52"/>
    </row>
    <row r="130" spans="1:9" ht="18.75" x14ac:dyDescent="0.3">
      <c r="A130" s="149"/>
      <c r="B130" s="149"/>
      <c r="C130" s="150"/>
      <c r="D130" s="150"/>
      <c r="E130" s="150"/>
      <c r="F130" s="154"/>
      <c r="G130" s="150"/>
      <c r="H130" s="150"/>
      <c r="I130" s="52"/>
    </row>
    <row r="131" spans="1:9" ht="18.75" x14ac:dyDescent="0.3">
      <c r="A131" s="149"/>
      <c r="B131" s="149"/>
      <c r="C131" s="150"/>
      <c r="D131" s="150"/>
      <c r="E131" s="150"/>
      <c r="F131" s="154"/>
      <c r="G131" s="150"/>
      <c r="H131" s="150"/>
      <c r="I131" s="52"/>
    </row>
    <row r="132" spans="1:9" ht="18.75" x14ac:dyDescent="0.3">
      <c r="A132" s="149"/>
      <c r="B132" s="149"/>
      <c r="C132" s="150"/>
      <c r="D132" s="150"/>
      <c r="E132" s="150"/>
      <c r="F132" s="154"/>
      <c r="G132" s="150"/>
      <c r="H132" s="150"/>
      <c r="I132" s="52"/>
    </row>
    <row r="133" spans="1:9" ht="18.75" x14ac:dyDescent="0.3">
      <c r="A133" s="149"/>
      <c r="B133" s="149"/>
      <c r="C133" s="150"/>
      <c r="D133" s="150"/>
      <c r="E133" s="150"/>
      <c r="F133" s="154"/>
      <c r="G133" s="150"/>
      <c r="H133" s="150"/>
      <c r="I133" s="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3" zoomScale="55" zoomScaleNormal="40" zoomScalePageLayoutView="55" workbookViewId="0">
      <selection activeCell="B18" sqref="B18:C19"/>
    </sheetView>
  </sheetViews>
  <sheetFormatPr defaultColWidth="9.140625" defaultRowHeight="13.5" x14ac:dyDescent="0.25"/>
  <cols>
    <col min="1" max="1" width="55.42578125" style="180" customWidth="1"/>
    <col min="2" max="2" width="33.7109375" style="180" customWidth="1"/>
    <col min="3" max="3" width="42.28515625" style="180" customWidth="1"/>
    <col min="4" max="4" width="30.5703125" style="180" customWidth="1"/>
    <col min="5" max="5" width="39.85546875" style="180" customWidth="1"/>
    <col min="6" max="6" width="30.7109375" style="180" customWidth="1"/>
    <col min="7" max="7" width="39.85546875" style="180" customWidth="1"/>
    <col min="8" max="8" width="30" style="180" customWidth="1"/>
    <col min="9" max="9" width="30.28515625" style="180" hidden="1" customWidth="1"/>
    <col min="10" max="10" width="30.42578125" style="180" customWidth="1"/>
    <col min="11" max="11" width="21.28515625" style="180" customWidth="1"/>
    <col min="12" max="12" width="9.140625" style="180"/>
    <col min="13" max="16384" width="9.140625" style="5"/>
  </cols>
  <sheetData>
    <row r="1" spans="1:9" ht="18.75" customHeight="1" x14ac:dyDescent="0.25">
      <c r="A1" s="250" t="s">
        <v>43</v>
      </c>
      <c r="B1" s="250"/>
      <c r="C1" s="250"/>
      <c r="D1" s="250"/>
      <c r="E1" s="250"/>
      <c r="F1" s="250"/>
      <c r="G1" s="250"/>
      <c r="H1" s="250"/>
      <c r="I1" s="250"/>
    </row>
    <row r="2" spans="1:9" ht="18.75" customHeight="1" x14ac:dyDescent="0.25">
      <c r="A2" s="250"/>
      <c r="B2" s="250"/>
      <c r="C2" s="250"/>
      <c r="D2" s="250"/>
      <c r="E2" s="250"/>
      <c r="F2" s="250"/>
      <c r="G2" s="250"/>
      <c r="H2" s="250"/>
      <c r="I2" s="250"/>
    </row>
    <row r="3" spans="1:9" ht="18.75" customHeight="1" x14ac:dyDescent="0.25">
      <c r="A3" s="250"/>
      <c r="B3" s="250"/>
      <c r="C3" s="250"/>
      <c r="D3" s="250"/>
      <c r="E3" s="250"/>
      <c r="F3" s="250"/>
      <c r="G3" s="250"/>
      <c r="H3" s="250"/>
      <c r="I3" s="250"/>
    </row>
    <row r="4" spans="1:9" ht="18.75" customHeight="1" x14ac:dyDescent="0.25">
      <c r="A4" s="250"/>
      <c r="B4" s="250"/>
      <c r="C4" s="250"/>
      <c r="D4" s="250"/>
      <c r="E4" s="250"/>
      <c r="F4" s="250"/>
      <c r="G4" s="250"/>
      <c r="H4" s="250"/>
      <c r="I4" s="250"/>
    </row>
    <row r="5" spans="1:9" ht="18.75" customHeight="1" x14ac:dyDescent="0.25">
      <c r="A5" s="250"/>
      <c r="B5" s="250"/>
      <c r="C5" s="250"/>
      <c r="D5" s="250"/>
      <c r="E5" s="250"/>
      <c r="F5" s="250"/>
      <c r="G5" s="250"/>
      <c r="H5" s="250"/>
      <c r="I5" s="250"/>
    </row>
    <row r="6" spans="1:9" ht="18.75" customHeight="1" x14ac:dyDescent="0.25">
      <c r="A6" s="250"/>
      <c r="B6" s="250"/>
      <c r="C6" s="250"/>
      <c r="D6" s="250"/>
      <c r="E6" s="250"/>
      <c r="F6" s="250"/>
      <c r="G6" s="250"/>
      <c r="H6" s="250"/>
      <c r="I6" s="250"/>
    </row>
    <row r="7" spans="1:9" ht="18.75" customHeight="1" x14ac:dyDescent="0.25">
      <c r="A7" s="250"/>
      <c r="B7" s="250"/>
      <c r="C7" s="250"/>
      <c r="D7" s="250"/>
      <c r="E7" s="250"/>
      <c r="F7" s="250"/>
      <c r="G7" s="250"/>
      <c r="H7" s="250"/>
      <c r="I7" s="250"/>
    </row>
    <row r="8" spans="1:9" x14ac:dyDescent="0.25">
      <c r="A8" s="251" t="s">
        <v>44</v>
      </c>
      <c r="B8" s="251"/>
      <c r="C8" s="251"/>
      <c r="D8" s="251"/>
      <c r="E8" s="251"/>
      <c r="F8" s="251"/>
      <c r="G8" s="251"/>
      <c r="H8" s="251"/>
      <c r="I8" s="251"/>
    </row>
    <row r="9" spans="1:9" x14ac:dyDescent="0.25">
      <c r="A9" s="251"/>
      <c r="B9" s="251"/>
      <c r="C9" s="251"/>
      <c r="D9" s="251"/>
      <c r="E9" s="251"/>
      <c r="F9" s="251"/>
      <c r="G9" s="251"/>
      <c r="H9" s="251"/>
      <c r="I9" s="251"/>
    </row>
    <row r="10" spans="1:9" x14ac:dyDescent="0.25">
      <c r="A10" s="251"/>
      <c r="B10" s="251"/>
      <c r="C10" s="251"/>
      <c r="D10" s="251"/>
      <c r="E10" s="251"/>
      <c r="F10" s="251"/>
      <c r="G10" s="251"/>
      <c r="H10" s="251"/>
      <c r="I10" s="251"/>
    </row>
    <row r="11" spans="1:9" x14ac:dyDescent="0.25">
      <c r="A11" s="251"/>
      <c r="B11" s="251"/>
      <c r="C11" s="251"/>
      <c r="D11" s="251"/>
      <c r="E11" s="251"/>
      <c r="F11" s="251"/>
      <c r="G11" s="251"/>
      <c r="H11" s="251"/>
      <c r="I11" s="251"/>
    </row>
    <row r="12" spans="1:9" x14ac:dyDescent="0.25">
      <c r="A12" s="251"/>
      <c r="B12" s="251"/>
      <c r="C12" s="251"/>
      <c r="D12" s="251"/>
      <c r="E12" s="251"/>
      <c r="F12" s="251"/>
      <c r="G12" s="251"/>
      <c r="H12" s="251"/>
      <c r="I12" s="251"/>
    </row>
    <row r="13" spans="1:9" x14ac:dyDescent="0.25">
      <c r="A13" s="251"/>
      <c r="B13" s="251"/>
      <c r="C13" s="251"/>
      <c r="D13" s="251"/>
      <c r="E13" s="251"/>
      <c r="F13" s="251"/>
      <c r="G13" s="251"/>
      <c r="H13" s="251"/>
      <c r="I13" s="251"/>
    </row>
    <row r="14" spans="1:9" x14ac:dyDescent="0.25">
      <c r="A14" s="251"/>
      <c r="B14" s="251"/>
      <c r="C14" s="251"/>
      <c r="D14" s="251"/>
      <c r="E14" s="251"/>
      <c r="F14" s="251"/>
      <c r="G14" s="251"/>
      <c r="H14" s="251"/>
      <c r="I14" s="251"/>
    </row>
    <row r="15" spans="1:9" ht="19.5" customHeight="1" thickBot="1" x14ac:dyDescent="0.35">
      <c r="A15" s="158"/>
    </row>
    <row r="16" spans="1:9" ht="19.5" customHeight="1" thickBot="1" x14ac:dyDescent="0.35">
      <c r="A16" s="284" t="s">
        <v>29</v>
      </c>
      <c r="B16" s="285"/>
      <c r="C16" s="285"/>
      <c r="D16" s="285"/>
      <c r="E16" s="285"/>
      <c r="F16" s="285"/>
      <c r="G16" s="285"/>
      <c r="H16" s="286"/>
    </row>
    <row r="17" spans="1:14" ht="20.25" customHeight="1" x14ac:dyDescent="0.25">
      <c r="A17" s="287" t="s">
        <v>45</v>
      </c>
      <c r="B17" s="287"/>
      <c r="C17" s="287"/>
      <c r="D17" s="287"/>
      <c r="E17" s="287"/>
      <c r="F17" s="287"/>
      <c r="G17" s="287"/>
      <c r="H17" s="287"/>
    </row>
    <row r="18" spans="1:14" ht="26.25" customHeight="1" x14ac:dyDescent="0.4">
      <c r="A18" s="54" t="s">
        <v>31</v>
      </c>
      <c r="B18" s="283" t="s">
        <v>127</v>
      </c>
      <c r="C18" s="283"/>
      <c r="D18" s="223"/>
      <c r="E18" s="55"/>
      <c r="F18" s="56"/>
      <c r="G18" s="56"/>
      <c r="H18" s="56"/>
    </row>
    <row r="19" spans="1:14" ht="26.25" customHeight="1" x14ac:dyDescent="0.4">
      <c r="A19" s="54" t="s">
        <v>32</v>
      </c>
      <c r="B19" s="239" t="s">
        <v>128</v>
      </c>
      <c r="C19" s="225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33</v>
      </c>
      <c r="B20" s="288" t="s">
        <v>7</v>
      </c>
      <c r="C20" s="288"/>
      <c r="D20" s="56"/>
      <c r="E20" s="56"/>
      <c r="F20" s="56"/>
      <c r="G20" s="56"/>
      <c r="H20" s="56"/>
    </row>
    <row r="21" spans="1:14" ht="26.25" customHeight="1" x14ac:dyDescent="0.4">
      <c r="A21" s="54" t="s">
        <v>34</v>
      </c>
      <c r="B21" s="288" t="s">
        <v>9</v>
      </c>
      <c r="C21" s="288"/>
      <c r="D21" s="288"/>
      <c r="E21" s="288"/>
      <c r="F21" s="288"/>
      <c r="G21" s="288"/>
      <c r="H21" s="288"/>
      <c r="I21" s="57"/>
    </row>
    <row r="22" spans="1:14" ht="26.25" customHeight="1" x14ac:dyDescent="0.4">
      <c r="A22" s="54" t="s">
        <v>35</v>
      </c>
      <c r="B22" s="58" t="s">
        <v>10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36</v>
      </c>
      <c r="B23" s="58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217" t="s">
        <v>4</v>
      </c>
      <c r="B26" s="283" t="s">
        <v>125</v>
      </c>
      <c r="C26" s="283"/>
    </row>
    <row r="27" spans="1:14" ht="26.25" customHeight="1" x14ac:dyDescent="0.4">
      <c r="A27" s="169" t="s">
        <v>46</v>
      </c>
      <c r="B27" s="281" t="s">
        <v>124</v>
      </c>
      <c r="C27" s="281"/>
    </row>
    <row r="28" spans="1:14" ht="27" customHeight="1" thickBot="1" x14ac:dyDescent="0.45">
      <c r="A28" s="169" t="s">
        <v>5</v>
      </c>
      <c r="B28" s="161">
        <v>99.3</v>
      </c>
    </row>
    <row r="29" spans="1:14" s="4" customFormat="1" ht="27" customHeight="1" thickBot="1" x14ac:dyDescent="0.45">
      <c r="A29" s="169" t="s">
        <v>47</v>
      </c>
      <c r="B29" s="64">
        <v>0</v>
      </c>
      <c r="C29" s="258" t="s">
        <v>48</v>
      </c>
      <c r="D29" s="259"/>
      <c r="E29" s="259"/>
      <c r="F29" s="259"/>
      <c r="G29" s="260"/>
      <c r="I29" s="65"/>
      <c r="J29" s="65"/>
      <c r="K29" s="65"/>
      <c r="L29" s="65"/>
    </row>
    <row r="30" spans="1:14" s="4" customFormat="1" ht="19.5" customHeight="1" thickBot="1" x14ac:dyDescent="0.35">
      <c r="A30" s="169" t="s">
        <v>49</v>
      </c>
      <c r="B30" s="235">
        <v>99.3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thickBot="1" x14ac:dyDescent="0.45">
      <c r="A31" s="169" t="s">
        <v>50</v>
      </c>
      <c r="B31" s="69">
        <v>1</v>
      </c>
      <c r="C31" s="261" t="s">
        <v>51</v>
      </c>
      <c r="D31" s="262"/>
      <c r="E31" s="262"/>
      <c r="F31" s="262"/>
      <c r="G31" s="262"/>
      <c r="H31" s="263"/>
      <c r="I31" s="65"/>
      <c r="J31" s="65"/>
      <c r="K31" s="65"/>
      <c r="L31" s="65"/>
    </row>
    <row r="32" spans="1:14" s="4" customFormat="1" ht="27" customHeight="1" thickBot="1" x14ac:dyDescent="0.45">
      <c r="A32" s="169" t="s">
        <v>52</v>
      </c>
      <c r="B32" s="69">
        <v>1</v>
      </c>
      <c r="C32" s="261" t="s">
        <v>53</v>
      </c>
      <c r="D32" s="262"/>
      <c r="E32" s="262"/>
      <c r="F32" s="262"/>
      <c r="G32" s="262"/>
      <c r="H32" s="26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169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169" t="s">
        <v>54</v>
      </c>
      <c r="B34" s="74">
        <v>1</v>
      </c>
      <c r="C34" s="158" t="s">
        <v>55</v>
      </c>
      <c r="D34" s="158"/>
      <c r="E34" s="158"/>
      <c r="F34" s="158"/>
      <c r="G34" s="158"/>
      <c r="I34" s="65"/>
      <c r="J34" s="65"/>
      <c r="K34" s="65"/>
      <c r="L34" s="70"/>
      <c r="M34" s="70"/>
      <c r="N34" s="71"/>
    </row>
    <row r="35" spans="1:14" s="4" customFormat="1" ht="19.5" customHeight="1" thickBot="1" x14ac:dyDescent="0.35">
      <c r="A35" s="169"/>
      <c r="B35" s="235"/>
      <c r="G35" s="158"/>
      <c r="I35" s="65"/>
      <c r="J35" s="65"/>
      <c r="K35" s="65"/>
      <c r="L35" s="70"/>
      <c r="M35" s="70"/>
      <c r="N35" s="71"/>
    </row>
    <row r="36" spans="1:14" s="4" customFormat="1" ht="27" customHeight="1" thickBot="1" x14ac:dyDescent="0.45">
      <c r="A36" s="75" t="s">
        <v>56</v>
      </c>
      <c r="B36" s="76">
        <v>25</v>
      </c>
      <c r="C36" s="158"/>
      <c r="D36" s="264" t="s">
        <v>57</v>
      </c>
      <c r="E36" s="282"/>
      <c r="F36" s="264" t="s">
        <v>58</v>
      </c>
      <c r="G36" s="265"/>
      <c r="J36" s="65"/>
      <c r="K36" s="65"/>
      <c r="L36" s="70"/>
      <c r="M36" s="70"/>
      <c r="N36" s="71"/>
    </row>
    <row r="37" spans="1:14" s="4" customFormat="1" ht="27" customHeight="1" thickBot="1" x14ac:dyDescent="0.45">
      <c r="A37" s="77" t="s">
        <v>59</v>
      </c>
      <c r="B37" s="78">
        <v>10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25</v>
      </c>
      <c r="C38" s="84">
        <v>1</v>
      </c>
      <c r="D38" s="85">
        <v>139585110</v>
      </c>
      <c r="E38" s="86">
        <f>IF(ISBLANK(D38),"-",$D$48/$D$45*D38)</f>
        <v>141024599.46782371</v>
      </c>
      <c r="F38" s="85">
        <v>131055230</v>
      </c>
      <c r="G38" s="87">
        <f>IF(ISBLANK(F38),"-",$D$48/$F$45*F38)</f>
        <v>136293276.4441148</v>
      </c>
      <c r="I38" s="88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109">
        <v>2</v>
      </c>
      <c r="D39" s="90">
        <v>140416450</v>
      </c>
      <c r="E39" s="91">
        <f>IF(ISBLANK(D39),"-",$D$48/$D$45*D39)</f>
        <v>141864512.76890278</v>
      </c>
      <c r="F39" s="90">
        <v>131600340</v>
      </c>
      <c r="G39" s="92">
        <f>IF(ISBLANK(F39),"-",$D$48/$F$45*F39)</f>
        <v>136860173.52958366</v>
      </c>
      <c r="I39" s="266">
        <f>ABS((F43/D43*D42)-F42)/D42</f>
        <v>3.414009507776751E-2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109">
        <v>3</v>
      </c>
      <c r="D40" s="90">
        <v>140355010</v>
      </c>
      <c r="E40" s="91">
        <f>IF(ISBLANK(D40),"-",$D$48/$D$45*D40)</f>
        <v>141802439.16097063</v>
      </c>
      <c r="F40" s="90">
        <v>131363150</v>
      </c>
      <c r="G40" s="92">
        <f>IF(ISBLANK(F40),"-",$D$48/$F$45*F40)</f>
        <v>136613503.4635376</v>
      </c>
      <c r="I40" s="266"/>
      <c r="L40" s="70"/>
      <c r="M40" s="70"/>
      <c r="N40" s="158"/>
    </row>
    <row r="41" spans="1:14" ht="27" customHeight="1" thickBot="1" x14ac:dyDescent="0.45">
      <c r="A41" s="77" t="s">
        <v>67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158"/>
    </row>
    <row r="42" spans="1:14" ht="27" customHeight="1" thickBot="1" x14ac:dyDescent="0.45">
      <c r="A42" s="77" t="s">
        <v>68</v>
      </c>
      <c r="B42" s="78">
        <v>1</v>
      </c>
      <c r="C42" s="99" t="s">
        <v>69</v>
      </c>
      <c r="D42" s="100">
        <f>AVERAGE(D38:D41)</f>
        <v>140118856.66666666</v>
      </c>
      <c r="E42" s="101">
        <f>AVERAGE(E38:E41)</f>
        <v>141563850.46589905</v>
      </c>
      <c r="F42" s="100">
        <f>AVERAGE(F38:F41)</f>
        <v>131339573.33333333</v>
      </c>
      <c r="G42" s="102">
        <f>AVERAGE(G38:G41)</f>
        <v>136588984.47907868</v>
      </c>
      <c r="H42" s="103"/>
    </row>
    <row r="43" spans="1:14" ht="26.25" customHeight="1" x14ac:dyDescent="0.4">
      <c r="A43" s="77" t="s">
        <v>70</v>
      </c>
      <c r="B43" s="78">
        <v>1</v>
      </c>
      <c r="C43" s="104" t="s">
        <v>71</v>
      </c>
      <c r="D43" s="105">
        <v>15.43</v>
      </c>
      <c r="E43" s="158"/>
      <c r="F43" s="105">
        <v>14.99</v>
      </c>
      <c r="H43" s="103"/>
    </row>
    <row r="44" spans="1:14" ht="26.25" customHeight="1" x14ac:dyDescent="0.4">
      <c r="A44" s="77" t="s">
        <v>72</v>
      </c>
      <c r="B44" s="78">
        <v>1</v>
      </c>
      <c r="C44" s="106" t="s">
        <v>73</v>
      </c>
      <c r="D44" s="107">
        <f>D43*$B$34</f>
        <v>15.43</v>
      </c>
      <c r="E44" s="177"/>
      <c r="F44" s="107">
        <f>F43*$B$34</f>
        <v>14.99</v>
      </c>
      <c r="H44" s="103"/>
    </row>
    <row r="45" spans="1:14" ht="19.5" customHeight="1" thickBot="1" x14ac:dyDescent="0.35">
      <c r="A45" s="77" t="s">
        <v>74</v>
      </c>
      <c r="B45" s="109">
        <f>(B44/B43)*(B42/B41)*(B40/B39)*(B38/B37)*B36</f>
        <v>62.5</v>
      </c>
      <c r="C45" s="106" t="s">
        <v>75</v>
      </c>
      <c r="D45" s="110">
        <f>D43*B28/100</f>
        <v>15.321989999999998</v>
      </c>
      <c r="E45" s="154"/>
      <c r="F45" s="110">
        <f>F43*B28/100</f>
        <v>14.885070000000001</v>
      </c>
      <c r="H45" s="103"/>
    </row>
    <row r="46" spans="1:14" ht="19.5" customHeight="1" thickBot="1" x14ac:dyDescent="0.35">
      <c r="A46" s="252" t="s">
        <v>76</v>
      </c>
      <c r="B46" s="253"/>
      <c r="C46" s="106" t="s">
        <v>77</v>
      </c>
      <c r="D46" s="112">
        <f>D45/$B$45</f>
        <v>0.24515183999999995</v>
      </c>
      <c r="E46" s="113"/>
      <c r="F46" s="114">
        <f>F45/$B$45</f>
        <v>0.23816112</v>
      </c>
      <c r="H46" s="103"/>
    </row>
    <row r="47" spans="1:14" ht="27" customHeight="1" thickBot="1" x14ac:dyDescent="0.45">
      <c r="A47" s="254"/>
      <c r="B47" s="255"/>
      <c r="C47" s="115" t="s">
        <v>78</v>
      </c>
      <c r="D47" s="116">
        <v>0.25</v>
      </c>
      <c r="E47" s="117"/>
      <c r="F47" s="113"/>
      <c r="H47" s="103"/>
    </row>
    <row r="48" spans="1:14" ht="18.75" x14ac:dyDescent="0.3">
      <c r="C48" s="118" t="s">
        <v>79</v>
      </c>
      <c r="D48" s="110">
        <v>15.48</v>
      </c>
      <c r="F48" s="119"/>
      <c r="H48" s="103"/>
    </row>
    <row r="49" spans="1:12" ht="19.5" customHeight="1" thickBot="1" x14ac:dyDescent="0.35">
      <c r="C49" s="120" t="s">
        <v>80</v>
      </c>
      <c r="D49" s="121">
        <f>D48/B34</f>
        <v>15.48</v>
      </c>
      <c r="F49" s="119"/>
      <c r="H49" s="103"/>
    </row>
    <row r="50" spans="1:12" ht="18.75" x14ac:dyDescent="0.3">
      <c r="C50" s="75" t="s">
        <v>81</v>
      </c>
      <c r="D50" s="122">
        <f>AVERAGE(E38:E41,G38:G41)</f>
        <v>139076417.47248885</v>
      </c>
      <c r="F50" s="123"/>
      <c r="H50" s="103"/>
    </row>
    <row r="51" spans="1:12" ht="18.75" x14ac:dyDescent="0.3">
      <c r="C51" s="77" t="s">
        <v>82</v>
      </c>
      <c r="D51" s="124">
        <f>STDEV(E38:E41,G38:G41)/D50</f>
        <v>1.9750054337972858E-2</v>
      </c>
      <c r="F51" s="123"/>
      <c r="H51" s="103"/>
    </row>
    <row r="52" spans="1:12" ht="19.5" customHeight="1" thickBot="1" x14ac:dyDescent="0.35">
      <c r="C52" s="125" t="s">
        <v>18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83</v>
      </c>
    </row>
    <row r="55" spans="1:12" ht="18.75" x14ac:dyDescent="0.3">
      <c r="A55" s="158" t="s">
        <v>84</v>
      </c>
      <c r="B55" s="130" t="str">
        <f>B21</f>
        <v>Each film-coated tablet contains Lopinavir 200 mg, Ritonavir 50 mg</v>
      </c>
    </row>
    <row r="56" spans="1:12" ht="26.25" customHeight="1" x14ac:dyDescent="0.4">
      <c r="A56" s="130" t="s">
        <v>85</v>
      </c>
      <c r="B56" s="131">
        <v>50</v>
      </c>
      <c r="C56" s="158" t="str">
        <f>B20</f>
        <v xml:space="preserve">Lopinavir/ Ritonavir </v>
      </c>
      <c r="H56" s="177"/>
    </row>
    <row r="57" spans="1:12" ht="18.75" x14ac:dyDescent="0.3">
      <c r="A57" s="130" t="s">
        <v>86</v>
      </c>
      <c r="B57" s="224">
        <f>Uniformity!C46</f>
        <v>1250.691</v>
      </c>
      <c r="H57" s="177"/>
    </row>
    <row r="58" spans="1:12" ht="19.5" customHeight="1" thickBot="1" x14ac:dyDescent="0.35">
      <c r="H58" s="177"/>
    </row>
    <row r="59" spans="1:12" s="4" customFormat="1" ht="27" customHeight="1" thickBot="1" x14ac:dyDescent="0.45">
      <c r="A59" s="75" t="s">
        <v>87</v>
      </c>
      <c r="B59" s="76">
        <v>100</v>
      </c>
      <c r="C59" s="158"/>
      <c r="D59" s="133" t="s">
        <v>88</v>
      </c>
      <c r="E59" s="134" t="s">
        <v>60</v>
      </c>
      <c r="F59" s="134" t="s">
        <v>61</v>
      </c>
      <c r="G59" s="134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269" t="s">
        <v>92</v>
      </c>
      <c r="D60" s="272">
        <v>622.51</v>
      </c>
      <c r="E60" s="135">
        <v>1</v>
      </c>
      <c r="F60" s="136">
        <v>143832750</v>
      </c>
      <c r="G60" s="226">
        <f>IF(ISBLANK(F60),"-",(F60/$D$50*$D$47*$B$68)*($B$57/$D$60))</f>
        <v>51.94550706935371</v>
      </c>
      <c r="H60" s="137">
        <f>IF(ISBLANK(F60),"-",G60/$B$56)</f>
        <v>1.0389101413870743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270"/>
      <c r="D61" s="273"/>
      <c r="E61" s="138">
        <v>2</v>
      </c>
      <c r="F61" s="90">
        <v>144097250</v>
      </c>
      <c r="G61" s="227">
        <f>IF(ISBLANK(F61),"-",(F61/$D$50*$D$47*$B$68)*($B$57/$D$60))</f>
        <v>52.04103181333479</v>
      </c>
      <c r="H61" s="139">
        <f t="shared" ref="H61:H70" si="0">IF(ISBLANK(F61),"-",G61/$B$56)</f>
        <v>1.0408206362666959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270"/>
      <c r="D62" s="273"/>
      <c r="E62" s="138">
        <v>3</v>
      </c>
      <c r="F62" s="140">
        <v>143992630</v>
      </c>
      <c r="G62" s="227">
        <f>IF(ISBLANK(F62),"-",(F62/$D$50*$D$47*$B$68)*($B$57/$D$60))</f>
        <v>52.00324807528073</v>
      </c>
      <c r="H62" s="139">
        <f t="shared" si="0"/>
        <v>1.0400649615056146</v>
      </c>
      <c r="L62" s="65"/>
    </row>
    <row r="63" spans="1:12" ht="27" customHeight="1" thickBot="1" x14ac:dyDescent="0.45">
      <c r="A63" s="77" t="s">
        <v>95</v>
      </c>
      <c r="B63" s="78">
        <v>1</v>
      </c>
      <c r="C63" s="280"/>
      <c r="D63" s="274"/>
      <c r="E63" s="141">
        <v>4</v>
      </c>
      <c r="F63" s="142"/>
      <c r="G63" s="227"/>
      <c r="H63" s="139"/>
    </row>
    <row r="64" spans="1:12" ht="26.25" customHeight="1" x14ac:dyDescent="0.4">
      <c r="A64" s="77" t="s">
        <v>96</v>
      </c>
      <c r="B64" s="78">
        <v>1</v>
      </c>
      <c r="C64" s="269" t="s">
        <v>97</v>
      </c>
      <c r="D64" s="272">
        <v>626.79</v>
      </c>
      <c r="E64" s="135">
        <v>1</v>
      </c>
      <c r="F64" s="136">
        <v>145054220</v>
      </c>
      <c r="G64" s="228">
        <f>IF(ISBLANK(F64),"-",(F64/$D$50*$D$47*$B$68)*($B$57/$D$64))</f>
        <v>52.028924360008304</v>
      </c>
      <c r="H64" s="143">
        <f>IF(ISBLANK(F64),"-",G64/$B$56)</f>
        <v>1.040578487200166</v>
      </c>
    </row>
    <row r="65" spans="1:8" ht="26.25" customHeight="1" x14ac:dyDescent="0.4">
      <c r="A65" s="77" t="s">
        <v>98</v>
      </c>
      <c r="B65" s="78">
        <v>1</v>
      </c>
      <c r="C65" s="270"/>
      <c r="D65" s="273"/>
      <c r="E65" s="138">
        <v>2</v>
      </c>
      <c r="F65" s="90">
        <v>146221690</v>
      </c>
      <c r="G65" s="229">
        <f>IF(ISBLANK(F65),"-",(F65/$D$50*$D$47*$B$68)*($B$57/$D$64))</f>
        <v>52.447679555979711</v>
      </c>
      <c r="H65" s="144">
        <f t="shared" si="0"/>
        <v>1.0489535911195942</v>
      </c>
    </row>
    <row r="66" spans="1:8" ht="26.25" customHeight="1" x14ac:dyDescent="0.4">
      <c r="A66" s="77" t="s">
        <v>99</v>
      </c>
      <c r="B66" s="78">
        <v>1</v>
      </c>
      <c r="C66" s="270"/>
      <c r="D66" s="273"/>
      <c r="E66" s="138">
        <v>3</v>
      </c>
      <c r="F66" s="90">
        <v>147254930</v>
      </c>
      <c r="G66" s="229">
        <f>IF(ISBLANK(F66),"-",(F66/$D$50*$D$47*$B$68)*($B$57/$D$64))</f>
        <v>52.818288324243987</v>
      </c>
      <c r="H66" s="144">
        <f t="shared" si="0"/>
        <v>1.0563657664848798</v>
      </c>
    </row>
    <row r="67" spans="1:8" ht="27" customHeight="1" thickBot="1" x14ac:dyDescent="0.45">
      <c r="A67" s="77" t="s">
        <v>100</v>
      </c>
      <c r="B67" s="78">
        <v>1</v>
      </c>
      <c r="C67" s="280"/>
      <c r="D67" s="274"/>
      <c r="E67" s="141">
        <v>4</v>
      </c>
      <c r="F67" s="142"/>
      <c r="G67" s="230"/>
      <c r="H67" s="145"/>
    </row>
    <row r="68" spans="1:8" ht="26.25" customHeight="1" x14ac:dyDescent="0.4">
      <c r="A68" s="77" t="s">
        <v>101</v>
      </c>
      <c r="B68" s="146">
        <f>(B67/B66)*(B65/B64)*(B63/B62)*(B61/B60)*B59</f>
        <v>100</v>
      </c>
      <c r="C68" s="269" t="s">
        <v>102</v>
      </c>
      <c r="D68" s="272">
        <v>627.66</v>
      </c>
      <c r="E68" s="135">
        <v>1</v>
      </c>
      <c r="F68" s="136">
        <v>146044590</v>
      </c>
      <c r="G68" s="228">
        <f>IF(ISBLANK(F68),"-",(F68/$D$50*$D$47*$B$68)*($B$57/$D$68))</f>
        <v>52.311546539011211</v>
      </c>
      <c r="H68" s="139">
        <f>IF(ISBLANK(F68),"-",G68/$B$56)</f>
        <v>1.0462309307802242</v>
      </c>
    </row>
    <row r="69" spans="1:8" ht="27" customHeight="1" thickBot="1" x14ac:dyDescent="0.45">
      <c r="A69" s="125" t="s">
        <v>103</v>
      </c>
      <c r="B69" s="147">
        <f>(D47*B68)/B56*B57</f>
        <v>625.34550000000002</v>
      </c>
      <c r="C69" s="270"/>
      <c r="D69" s="273"/>
      <c r="E69" s="138">
        <v>2</v>
      </c>
      <c r="F69" s="90">
        <v>146231120</v>
      </c>
      <c r="G69" s="229">
        <f>IF(ISBLANK(F69),"-",(F69/$D$50*$D$47*$B$68)*($B$57/$D$68))</f>
        <v>52.378359508775596</v>
      </c>
      <c r="H69" s="139">
        <f t="shared" si="0"/>
        <v>1.0475671901755119</v>
      </c>
    </row>
    <row r="70" spans="1:8" ht="26.25" customHeight="1" x14ac:dyDescent="0.4">
      <c r="A70" s="275" t="s">
        <v>76</v>
      </c>
      <c r="B70" s="276"/>
      <c r="C70" s="270"/>
      <c r="D70" s="273"/>
      <c r="E70" s="138">
        <v>3</v>
      </c>
      <c r="F70" s="90">
        <v>145802960</v>
      </c>
      <c r="G70" s="229">
        <f>IF(ISBLANK(F70),"-",(F70/$D$50*$D$47*$B$68)*($B$57/$D$68))</f>
        <v>52.224997362556131</v>
      </c>
      <c r="H70" s="139">
        <f t="shared" si="0"/>
        <v>1.0444999472511227</v>
      </c>
    </row>
    <row r="71" spans="1:8" ht="27" customHeight="1" thickBot="1" x14ac:dyDescent="0.45">
      <c r="A71" s="277"/>
      <c r="B71" s="278"/>
      <c r="C71" s="271"/>
      <c r="D71" s="274"/>
      <c r="E71" s="141">
        <v>4</v>
      </c>
      <c r="F71" s="142"/>
      <c r="G71" s="230"/>
      <c r="H71" s="148"/>
    </row>
    <row r="72" spans="1:8" ht="26.25" customHeight="1" x14ac:dyDescent="0.4">
      <c r="A72" s="177"/>
      <c r="B72" s="177"/>
      <c r="C72" s="177"/>
      <c r="D72" s="177"/>
      <c r="E72" s="177"/>
      <c r="F72" s="177"/>
      <c r="G72" s="151" t="s">
        <v>69</v>
      </c>
      <c r="H72" s="152">
        <f>AVERAGE(H60:H71)</f>
        <v>1.0448879613523203</v>
      </c>
    </row>
    <row r="73" spans="1:8" ht="26.25" customHeight="1" x14ac:dyDescent="0.4">
      <c r="C73" s="177"/>
      <c r="D73" s="177"/>
      <c r="E73" s="177"/>
      <c r="F73" s="177"/>
      <c r="G73" s="153" t="s">
        <v>82</v>
      </c>
      <c r="H73" s="231">
        <f>STDEV(H60:H71)/H72</f>
        <v>5.3661737057023378E-3</v>
      </c>
    </row>
    <row r="74" spans="1:8" ht="27" customHeight="1" thickBot="1" x14ac:dyDescent="0.45">
      <c r="A74" s="177"/>
      <c r="B74" s="177"/>
      <c r="C74" s="177"/>
      <c r="D74" s="177"/>
      <c r="E74" s="154"/>
      <c r="F74" s="177"/>
      <c r="G74" s="155" t="s">
        <v>18</v>
      </c>
      <c r="H74" s="156">
        <f>COUNT(H60:H71)</f>
        <v>9</v>
      </c>
    </row>
    <row r="76" spans="1:8" ht="26.25" customHeight="1" x14ac:dyDescent="0.4">
      <c r="A76" s="217" t="s">
        <v>104</v>
      </c>
      <c r="B76" s="169" t="s">
        <v>105</v>
      </c>
      <c r="C76" s="256" t="str">
        <f>B20</f>
        <v xml:space="preserve">Lopinavir/ Ritonavir </v>
      </c>
      <c r="D76" s="256"/>
      <c r="E76" s="158" t="s">
        <v>106</v>
      </c>
      <c r="F76" s="158"/>
      <c r="G76" s="159">
        <f>H72</f>
        <v>1.0448879613523203</v>
      </c>
      <c r="H76" s="235"/>
    </row>
    <row r="77" spans="1:8" ht="18.75" x14ac:dyDescent="0.3">
      <c r="A77" s="60" t="s">
        <v>107</v>
      </c>
      <c r="B77" s="60" t="s">
        <v>108</v>
      </c>
      <c r="G77" s="180">
        <v>3</v>
      </c>
    </row>
    <row r="78" spans="1:8" ht="18.75" x14ac:dyDescent="0.3">
      <c r="A78" s="60"/>
      <c r="B78" s="60"/>
    </row>
    <row r="79" spans="1:8" ht="26.25" customHeight="1" x14ac:dyDescent="0.4">
      <c r="A79" s="217" t="s">
        <v>4</v>
      </c>
      <c r="B79" s="279" t="str">
        <f>B26</f>
        <v>Ritonavir</v>
      </c>
      <c r="C79" s="279"/>
    </row>
    <row r="80" spans="1:8" ht="26.25" customHeight="1" x14ac:dyDescent="0.4">
      <c r="A80" s="169" t="s">
        <v>46</v>
      </c>
      <c r="B80" s="279" t="str">
        <f>B27</f>
        <v>L21-1</v>
      </c>
      <c r="C80" s="279"/>
    </row>
    <row r="81" spans="1:12" ht="27" customHeight="1" thickBot="1" x14ac:dyDescent="0.45">
      <c r="A81" s="169" t="s">
        <v>5</v>
      </c>
      <c r="B81" s="161">
        <f>B28</f>
        <v>99.3</v>
      </c>
    </row>
    <row r="82" spans="1:12" s="4" customFormat="1" ht="27" customHeight="1" thickBot="1" x14ac:dyDescent="0.45">
      <c r="A82" s="169" t="s">
        <v>47</v>
      </c>
      <c r="B82" s="64">
        <v>0</v>
      </c>
      <c r="C82" s="258" t="s">
        <v>48</v>
      </c>
      <c r="D82" s="259"/>
      <c r="E82" s="259"/>
      <c r="F82" s="259"/>
      <c r="G82" s="260"/>
      <c r="I82" s="65"/>
      <c r="J82" s="65"/>
      <c r="K82" s="65"/>
      <c r="L82" s="65"/>
    </row>
    <row r="83" spans="1:12" s="4" customFormat="1" ht="19.5" customHeight="1" thickBot="1" x14ac:dyDescent="0.35">
      <c r="A83" s="169" t="s">
        <v>49</v>
      </c>
      <c r="B83" s="235">
        <f>B81-B82</f>
        <v>99.3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thickBot="1" x14ac:dyDescent="0.45">
      <c r="A84" s="169" t="s">
        <v>50</v>
      </c>
      <c r="B84" s="69">
        <v>154.46</v>
      </c>
      <c r="C84" s="261" t="s">
        <v>109</v>
      </c>
      <c r="D84" s="262"/>
      <c r="E84" s="262"/>
      <c r="F84" s="262"/>
      <c r="G84" s="262"/>
      <c r="H84" s="263"/>
      <c r="I84" s="65"/>
      <c r="J84" s="65"/>
      <c r="K84" s="65"/>
      <c r="L84" s="65"/>
    </row>
    <row r="85" spans="1:12" s="4" customFormat="1" ht="27" customHeight="1" thickBot="1" x14ac:dyDescent="0.45">
      <c r="A85" s="169" t="s">
        <v>52</v>
      </c>
      <c r="B85" s="69">
        <v>165.23</v>
      </c>
      <c r="C85" s="261" t="s">
        <v>110</v>
      </c>
      <c r="D85" s="262"/>
      <c r="E85" s="262"/>
      <c r="F85" s="262"/>
      <c r="G85" s="262"/>
      <c r="H85" s="263"/>
      <c r="I85" s="65"/>
      <c r="J85" s="65"/>
      <c r="K85" s="65"/>
      <c r="L85" s="65"/>
    </row>
    <row r="86" spans="1:12" s="4" customFormat="1" ht="18.75" x14ac:dyDescent="0.3">
      <c r="A86" s="169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169" t="s">
        <v>54</v>
      </c>
      <c r="B87" s="74">
        <f>B84/B85</f>
        <v>0.93481813230042976</v>
      </c>
      <c r="C87" s="158" t="s">
        <v>55</v>
      </c>
      <c r="D87" s="158"/>
      <c r="E87" s="158"/>
      <c r="F87" s="158"/>
      <c r="G87" s="158"/>
      <c r="I87" s="65"/>
      <c r="J87" s="65"/>
      <c r="K87" s="65"/>
      <c r="L87" s="65"/>
    </row>
    <row r="88" spans="1:12" ht="19.5" customHeight="1" thickBot="1" x14ac:dyDescent="0.35">
      <c r="A88" s="60"/>
      <c r="B88" s="60"/>
    </row>
    <row r="89" spans="1:12" ht="27" customHeight="1" thickBot="1" x14ac:dyDescent="0.45">
      <c r="A89" s="75" t="s">
        <v>56</v>
      </c>
      <c r="B89" s="76">
        <v>25</v>
      </c>
      <c r="D89" s="237" t="s">
        <v>57</v>
      </c>
      <c r="E89" s="240"/>
      <c r="F89" s="264" t="s">
        <v>58</v>
      </c>
      <c r="G89" s="265"/>
    </row>
    <row r="90" spans="1:12" ht="27" customHeight="1" thickBot="1" x14ac:dyDescent="0.45">
      <c r="A90" s="77" t="s">
        <v>59</v>
      </c>
      <c r="B90" s="78">
        <v>4</v>
      </c>
      <c r="C90" s="236" t="s">
        <v>60</v>
      </c>
      <c r="D90" s="80" t="s">
        <v>61</v>
      </c>
      <c r="E90" s="81" t="s">
        <v>62</v>
      </c>
      <c r="F90" s="80" t="s">
        <v>61</v>
      </c>
      <c r="G90" s="165" t="s">
        <v>62</v>
      </c>
      <c r="I90" s="83" t="s">
        <v>63</v>
      </c>
    </row>
    <row r="91" spans="1:12" ht="26.25" customHeight="1" x14ac:dyDescent="0.4">
      <c r="A91" s="77" t="s">
        <v>64</v>
      </c>
      <c r="B91" s="78">
        <v>200</v>
      </c>
      <c r="C91" s="166">
        <v>1</v>
      </c>
      <c r="D91" s="85">
        <v>52522362</v>
      </c>
      <c r="E91" s="86">
        <f>IF(ISBLANK(D91),"-",$D$101/$D$98*D91)</f>
        <v>15641764.587360833</v>
      </c>
      <c r="F91" s="85">
        <v>53289728</v>
      </c>
      <c r="G91" s="87">
        <f>IF(ISBLANK(F91),"-",$D$101/$F$98*F91)</f>
        <v>15463995.772086633</v>
      </c>
      <c r="I91" s="88"/>
    </row>
    <row r="92" spans="1:12" ht="26.25" customHeight="1" x14ac:dyDescent="0.4">
      <c r="A92" s="77" t="s">
        <v>65</v>
      </c>
      <c r="B92" s="78">
        <v>1</v>
      </c>
      <c r="C92" s="177">
        <v>2</v>
      </c>
      <c r="D92" s="90">
        <v>52553125</v>
      </c>
      <c r="E92" s="91">
        <f>IF(ISBLANK(D92),"-",$D$101/$D$98*D92)</f>
        <v>15650926.163224481</v>
      </c>
      <c r="F92" s="90">
        <v>53121237</v>
      </c>
      <c r="G92" s="92">
        <f>IF(ISBLANK(F92),"-",$D$101/$F$98*F92)</f>
        <v>15415101.84431814</v>
      </c>
      <c r="I92" s="266">
        <f>ABS((F96/D96*D95)-F95)/D95</f>
        <v>9.1663928758481394E-3</v>
      </c>
    </row>
    <row r="93" spans="1:12" ht="26.25" customHeight="1" x14ac:dyDescent="0.4">
      <c r="A93" s="77" t="s">
        <v>66</v>
      </c>
      <c r="B93" s="78">
        <v>1</v>
      </c>
      <c r="C93" s="177">
        <v>3</v>
      </c>
      <c r="D93" s="90">
        <v>52565096</v>
      </c>
      <c r="E93" s="91">
        <f>IF(ISBLANK(D93),"-",$D$101/$D$98*D93)</f>
        <v>15654491.264959153</v>
      </c>
      <c r="F93" s="90">
        <v>54057613</v>
      </c>
      <c r="G93" s="92">
        <f>IF(ISBLANK(F93),"-",$D$101/$F$98*F93)</f>
        <v>15686826.1530833</v>
      </c>
      <c r="I93" s="266"/>
    </row>
    <row r="94" spans="1:12" ht="27" customHeight="1" thickBot="1" x14ac:dyDescent="0.45">
      <c r="A94" s="77" t="s">
        <v>67</v>
      </c>
      <c r="B94" s="78">
        <v>1</v>
      </c>
      <c r="C94" s="167">
        <v>4</v>
      </c>
      <c r="D94" s="95">
        <v>52522362</v>
      </c>
      <c r="E94" s="96">
        <f>IF(ISBLANK(D94),"-",$D$101/$D$98*D94)</f>
        <v>15641764.587360833</v>
      </c>
      <c r="F94" s="168">
        <v>53289728</v>
      </c>
      <c r="G94" s="97">
        <f>IF(ISBLANK(F94),"-",$D$101/$F$98*F94)</f>
        <v>15463995.772086633</v>
      </c>
      <c r="I94" s="98"/>
    </row>
    <row r="95" spans="1:12" ht="27" customHeight="1" thickBot="1" x14ac:dyDescent="0.45">
      <c r="A95" s="77" t="s">
        <v>68</v>
      </c>
      <c r="B95" s="78">
        <v>1</v>
      </c>
      <c r="C95" s="169" t="s">
        <v>69</v>
      </c>
      <c r="D95" s="170">
        <f>AVERAGE(D91:D94)</f>
        <v>52540736.25</v>
      </c>
      <c r="E95" s="101">
        <f>AVERAGE(E91:E94)</f>
        <v>15647236.650726326</v>
      </c>
      <c r="F95" s="171">
        <f>AVERAGE(F91:F94)</f>
        <v>53439576.5</v>
      </c>
      <c r="G95" s="172">
        <f>AVERAGE(G91:G94)</f>
        <v>15507479.885393677</v>
      </c>
    </row>
    <row r="96" spans="1:12" ht="26.25" customHeight="1" x14ac:dyDescent="0.4">
      <c r="A96" s="77" t="s">
        <v>70</v>
      </c>
      <c r="B96" s="161">
        <v>1</v>
      </c>
      <c r="C96" s="173" t="s">
        <v>111</v>
      </c>
      <c r="D96" s="174">
        <v>25.12</v>
      </c>
      <c r="E96" s="158"/>
      <c r="F96" s="105">
        <v>25.78</v>
      </c>
    </row>
    <row r="97" spans="1:10" ht="26.25" customHeight="1" x14ac:dyDescent="0.4">
      <c r="A97" s="77" t="s">
        <v>72</v>
      </c>
      <c r="B97" s="161">
        <v>1</v>
      </c>
      <c r="C97" s="175" t="s">
        <v>112</v>
      </c>
      <c r="D97" s="176">
        <f>D96*$B$87</f>
        <v>23.482631483386797</v>
      </c>
      <c r="E97" s="177"/>
      <c r="F97" s="107">
        <f>F96*$B$87</f>
        <v>24.09961145070508</v>
      </c>
    </row>
    <row r="98" spans="1:10" ht="19.5" customHeight="1" thickBot="1" x14ac:dyDescent="0.35">
      <c r="A98" s="77" t="s">
        <v>74</v>
      </c>
      <c r="B98" s="177">
        <f>(B97/B96)*(B95/B94)*(B93/B92)*(B91/B90)*B89</f>
        <v>1250</v>
      </c>
      <c r="C98" s="175" t="s">
        <v>113</v>
      </c>
      <c r="D98" s="178">
        <f>D97*$B$83/100</f>
        <v>23.318253063003091</v>
      </c>
      <c r="E98" s="154"/>
      <c r="F98" s="110">
        <f>F97*$B$83/100</f>
        <v>23.930914170550146</v>
      </c>
    </row>
    <row r="99" spans="1:10" ht="19.5" customHeight="1" thickBot="1" x14ac:dyDescent="0.35">
      <c r="A99" s="252" t="s">
        <v>76</v>
      </c>
      <c r="B99" s="267"/>
      <c r="C99" s="175" t="s">
        <v>114</v>
      </c>
      <c r="D99" s="179">
        <f>D98/$B$98</f>
        <v>1.8654602450402472E-2</v>
      </c>
      <c r="E99" s="154"/>
      <c r="F99" s="114">
        <f>F98/$B$98</f>
        <v>1.9144731336440117E-2</v>
      </c>
      <c r="H99" s="103"/>
    </row>
    <row r="100" spans="1:10" ht="19.5" customHeight="1" thickBot="1" x14ac:dyDescent="0.35">
      <c r="A100" s="254"/>
      <c r="B100" s="268"/>
      <c r="C100" s="175" t="s">
        <v>78</v>
      </c>
      <c r="D100" s="181">
        <f>$B$56/$B$116</f>
        <v>5.5555555555555558E-3</v>
      </c>
      <c r="F100" s="119"/>
      <c r="G100" s="188"/>
      <c r="H100" s="103"/>
    </row>
    <row r="101" spans="1:10" ht="18.75" x14ac:dyDescent="0.3">
      <c r="C101" s="175" t="s">
        <v>79</v>
      </c>
      <c r="D101" s="176">
        <f>D100*$B$98</f>
        <v>6.9444444444444446</v>
      </c>
      <c r="F101" s="119"/>
      <c r="H101" s="103"/>
    </row>
    <row r="102" spans="1:10" ht="19.5" customHeight="1" thickBot="1" x14ac:dyDescent="0.35">
      <c r="C102" s="183" t="s">
        <v>80</v>
      </c>
      <c r="D102" s="184">
        <f>D101/B34</f>
        <v>6.9444444444444446</v>
      </c>
      <c r="F102" s="123"/>
      <c r="H102" s="103"/>
      <c r="J102" s="185"/>
    </row>
    <row r="103" spans="1:10" ht="18.75" x14ac:dyDescent="0.3">
      <c r="C103" s="186" t="s">
        <v>115</v>
      </c>
      <c r="D103" s="187">
        <f>AVERAGE(E91:E94,G91:G94)</f>
        <v>15577358.268060001</v>
      </c>
      <c r="F103" s="123"/>
      <c r="G103" s="188"/>
      <c r="H103" s="103"/>
      <c r="J103" s="189"/>
    </row>
    <row r="104" spans="1:10" ht="18.75" x14ac:dyDescent="0.3">
      <c r="C104" s="153" t="s">
        <v>82</v>
      </c>
      <c r="D104" s="190">
        <f>STDEV(E91:E94,G91:G94)/D103</f>
        <v>7.0184870796217982E-3</v>
      </c>
      <c r="F104" s="123"/>
      <c r="H104" s="103"/>
      <c r="J104" s="189"/>
    </row>
    <row r="105" spans="1:10" ht="19.5" customHeight="1" thickBot="1" x14ac:dyDescent="0.35">
      <c r="C105" s="155" t="s">
        <v>18</v>
      </c>
      <c r="D105" s="191">
        <f>COUNT(E91:E94,G91:G94)</f>
        <v>8</v>
      </c>
      <c r="F105" s="123"/>
      <c r="H105" s="103"/>
      <c r="J105" s="189"/>
    </row>
    <row r="106" spans="1:10" ht="19.5" customHeight="1" thickBot="1" x14ac:dyDescent="0.35">
      <c r="A106" s="127"/>
      <c r="B106" s="127"/>
      <c r="C106" s="127"/>
      <c r="D106" s="127"/>
      <c r="E106" s="127"/>
    </row>
    <row r="107" spans="1:10" ht="26.25" customHeight="1" x14ac:dyDescent="0.4">
      <c r="A107" s="75" t="s">
        <v>116</v>
      </c>
      <c r="B107" s="76">
        <v>900</v>
      </c>
      <c r="C107" s="237" t="s">
        <v>117</v>
      </c>
      <c r="D107" s="193" t="s">
        <v>61</v>
      </c>
      <c r="E107" s="194" t="s">
        <v>118</v>
      </c>
      <c r="F107" s="195" t="s">
        <v>119</v>
      </c>
    </row>
    <row r="108" spans="1:10" ht="26.25" customHeight="1" x14ac:dyDescent="0.4">
      <c r="A108" s="77" t="s">
        <v>120</v>
      </c>
      <c r="B108" s="78">
        <v>5</v>
      </c>
      <c r="C108" s="196">
        <v>1</v>
      </c>
      <c r="D108" s="197">
        <v>87619284</v>
      </c>
      <c r="E108" s="232">
        <f t="shared" ref="E108:E113" si="1">IF(ISBLANK(D108),"-",D108/$D$103*$D$100*$B$116)</f>
        <v>281.23922712766904</v>
      </c>
      <c r="F108" s="198">
        <f t="shared" ref="F108:F113" si="2">IF(ISBLANK(D108), "-", E108/$B$56)</f>
        <v>5.6247845425533809</v>
      </c>
    </row>
    <row r="109" spans="1:10" ht="26.25" customHeight="1" x14ac:dyDescent="0.4">
      <c r="A109" s="77" t="s">
        <v>93</v>
      </c>
      <c r="B109" s="78">
        <v>50</v>
      </c>
      <c r="C109" s="196">
        <v>2</v>
      </c>
      <c r="D109" s="197">
        <v>87231228</v>
      </c>
      <c r="E109" s="233">
        <f t="shared" si="1"/>
        <v>279.99365007499364</v>
      </c>
      <c r="F109" s="199">
        <f t="shared" si="2"/>
        <v>5.5998730014998728</v>
      </c>
    </row>
    <row r="110" spans="1:10" ht="26.25" customHeight="1" x14ac:dyDescent="0.4">
      <c r="A110" s="77" t="s">
        <v>94</v>
      </c>
      <c r="B110" s="78">
        <v>1</v>
      </c>
      <c r="C110" s="196">
        <v>3</v>
      </c>
      <c r="D110" s="197">
        <v>87224653</v>
      </c>
      <c r="E110" s="233">
        <f t="shared" si="1"/>
        <v>279.97254572633943</v>
      </c>
      <c r="F110" s="199">
        <f t="shared" si="2"/>
        <v>5.5994509145267886</v>
      </c>
    </row>
    <row r="111" spans="1:10" ht="26.25" customHeight="1" x14ac:dyDescent="0.4">
      <c r="A111" s="77" t="s">
        <v>95</v>
      </c>
      <c r="B111" s="78">
        <v>1</v>
      </c>
      <c r="C111" s="196">
        <v>4</v>
      </c>
      <c r="D111" s="197">
        <v>86491264</v>
      </c>
      <c r="E111" s="233">
        <f t="shared" si="1"/>
        <v>277.61852334533103</v>
      </c>
      <c r="F111" s="199">
        <f t="shared" si="2"/>
        <v>5.5523704669066207</v>
      </c>
    </row>
    <row r="112" spans="1:10" ht="26.25" customHeight="1" x14ac:dyDescent="0.4">
      <c r="A112" s="77" t="s">
        <v>96</v>
      </c>
      <c r="B112" s="78">
        <v>1</v>
      </c>
      <c r="C112" s="196">
        <v>5</v>
      </c>
      <c r="D112" s="197">
        <v>88080316</v>
      </c>
      <c r="E112" s="233">
        <f t="shared" si="1"/>
        <v>282.71904158679115</v>
      </c>
      <c r="F112" s="199">
        <f t="shared" si="2"/>
        <v>5.6543808317358231</v>
      </c>
    </row>
    <row r="113" spans="1:10" ht="26.25" customHeight="1" x14ac:dyDescent="0.4">
      <c r="A113" s="77" t="s">
        <v>98</v>
      </c>
      <c r="B113" s="78">
        <v>1</v>
      </c>
      <c r="C113" s="200">
        <v>6</v>
      </c>
      <c r="D113" s="201">
        <v>87568449</v>
      </c>
      <c r="E113" s="234">
        <f t="shared" si="1"/>
        <v>281.07605761225699</v>
      </c>
      <c r="F113" s="202">
        <f t="shared" si="2"/>
        <v>5.6215211522451396</v>
      </c>
    </row>
    <row r="114" spans="1:10" ht="26.25" customHeight="1" x14ac:dyDescent="0.4">
      <c r="A114" s="77" t="s">
        <v>99</v>
      </c>
      <c r="B114" s="78">
        <v>1</v>
      </c>
      <c r="C114" s="196"/>
      <c r="D114" s="177"/>
      <c r="E114" s="158"/>
      <c r="F114" s="203"/>
    </row>
    <row r="115" spans="1:10" ht="26.25" customHeight="1" x14ac:dyDescent="0.4">
      <c r="A115" s="77" t="s">
        <v>100</v>
      </c>
      <c r="B115" s="78">
        <v>1</v>
      </c>
      <c r="C115" s="196"/>
      <c r="D115" s="204"/>
      <c r="E115" s="205" t="s">
        <v>69</v>
      </c>
      <c r="F115" s="206">
        <f>AVERAGE(F108:F113)</f>
        <v>5.6087301515779373</v>
      </c>
    </row>
    <row r="116" spans="1:10" ht="27" customHeight="1" thickBot="1" x14ac:dyDescent="0.45">
      <c r="A116" s="77" t="s">
        <v>101</v>
      </c>
      <c r="B116" s="109">
        <f>(B115/B114)*(B113/B112)*(B111/B110)*(B109/B108)*B107</f>
        <v>9000</v>
      </c>
      <c r="C116" s="207"/>
      <c r="D116" s="208"/>
      <c r="E116" s="169" t="s">
        <v>82</v>
      </c>
      <c r="F116" s="209">
        <f>STDEV(F108:F113)/F115</f>
        <v>6.0966490078911903E-3</v>
      </c>
      <c r="I116" s="158"/>
    </row>
    <row r="117" spans="1:10" ht="27" customHeight="1" thickBot="1" x14ac:dyDescent="0.45">
      <c r="A117" s="252" t="s">
        <v>76</v>
      </c>
      <c r="B117" s="253"/>
      <c r="C117" s="210"/>
      <c r="D117" s="211"/>
      <c r="E117" s="212" t="s">
        <v>18</v>
      </c>
      <c r="F117" s="213">
        <f>COUNT(F108:F113)</f>
        <v>6</v>
      </c>
      <c r="I117" s="158"/>
      <c r="J117" s="189"/>
    </row>
    <row r="118" spans="1:10" ht="19.5" customHeight="1" thickBot="1" x14ac:dyDescent="0.35">
      <c r="A118" s="254"/>
      <c r="B118" s="255"/>
      <c r="C118" s="158"/>
      <c r="D118" s="158"/>
      <c r="E118" s="158"/>
      <c r="F118" s="177"/>
      <c r="G118" s="158"/>
      <c r="H118" s="158"/>
      <c r="I118" s="158"/>
    </row>
    <row r="119" spans="1:10" ht="18.75" x14ac:dyDescent="0.3">
      <c r="A119" s="222"/>
      <c r="B119" s="73"/>
      <c r="C119" s="158"/>
      <c r="D119" s="158"/>
      <c r="E119" s="158"/>
      <c r="F119" s="177"/>
      <c r="G119" s="158"/>
      <c r="H119" s="158"/>
      <c r="I119" s="158"/>
    </row>
    <row r="120" spans="1:10" ht="26.25" customHeight="1" x14ac:dyDescent="0.4">
      <c r="A120" s="217" t="s">
        <v>104</v>
      </c>
      <c r="B120" s="169" t="s">
        <v>121</v>
      </c>
      <c r="C120" s="256" t="str">
        <f>B20</f>
        <v xml:space="preserve">Lopinavir/ Ritonavir </v>
      </c>
      <c r="D120" s="256"/>
      <c r="E120" s="158" t="s">
        <v>122</v>
      </c>
      <c r="F120" s="158"/>
      <c r="G120" s="159">
        <f>F115</f>
        <v>5.6087301515779373</v>
      </c>
      <c r="H120" s="158"/>
      <c r="I120" s="158"/>
    </row>
    <row r="121" spans="1:10" ht="19.5" customHeight="1" thickBot="1" x14ac:dyDescent="0.35">
      <c r="A121" s="238"/>
      <c r="B121" s="238"/>
      <c r="C121" s="215"/>
      <c r="D121" s="215"/>
      <c r="E121" s="215"/>
      <c r="F121" s="215"/>
      <c r="G121" s="215"/>
      <c r="H121" s="215"/>
    </row>
    <row r="122" spans="1:10" ht="18.75" x14ac:dyDescent="0.3">
      <c r="B122" s="257" t="s">
        <v>24</v>
      </c>
      <c r="C122" s="257"/>
      <c r="E122" s="236" t="s">
        <v>25</v>
      </c>
      <c r="F122" s="216"/>
      <c r="G122" s="257" t="s">
        <v>26</v>
      </c>
      <c r="H122" s="257"/>
    </row>
    <row r="123" spans="1:10" ht="69.95" customHeight="1" x14ac:dyDescent="0.3">
      <c r="A123" s="217" t="s">
        <v>27</v>
      </c>
      <c r="B123" s="219"/>
      <c r="C123" s="219"/>
      <c r="E123" s="219"/>
      <c r="F123" s="158"/>
      <c r="G123" s="219"/>
      <c r="H123" s="219"/>
    </row>
    <row r="124" spans="1:10" ht="69.95" customHeight="1" x14ac:dyDescent="0.3">
      <c r="A124" s="217" t="s">
        <v>28</v>
      </c>
      <c r="B124" s="220"/>
      <c r="C124" s="220"/>
      <c r="E124" s="220"/>
      <c r="F124" s="158"/>
      <c r="G124" s="221"/>
      <c r="H124" s="221"/>
    </row>
    <row r="125" spans="1:10" ht="18.75" x14ac:dyDescent="0.3">
      <c r="A125" s="177"/>
      <c r="B125" s="177"/>
      <c r="C125" s="177"/>
      <c r="D125" s="177"/>
      <c r="E125" s="177"/>
      <c r="F125" s="154"/>
      <c r="G125" s="177"/>
      <c r="H125" s="177"/>
      <c r="I125" s="158"/>
    </row>
    <row r="126" spans="1:10" ht="18.75" x14ac:dyDescent="0.3">
      <c r="A126" s="177"/>
      <c r="B126" s="177"/>
      <c r="C126" s="177"/>
      <c r="D126" s="177"/>
      <c r="E126" s="177"/>
      <c r="F126" s="154"/>
      <c r="G126" s="177"/>
      <c r="H126" s="177"/>
      <c r="I126" s="158"/>
    </row>
    <row r="127" spans="1:10" ht="18.75" x14ac:dyDescent="0.3">
      <c r="A127" s="177"/>
      <c r="B127" s="177"/>
      <c r="C127" s="177"/>
      <c r="D127" s="177"/>
      <c r="E127" s="177"/>
      <c r="F127" s="154"/>
      <c r="G127" s="177"/>
      <c r="H127" s="177"/>
      <c r="I127" s="158"/>
    </row>
    <row r="128" spans="1:10" ht="18.75" x14ac:dyDescent="0.3">
      <c r="A128" s="177"/>
      <c r="B128" s="177"/>
      <c r="C128" s="177"/>
      <c r="D128" s="177"/>
      <c r="E128" s="177"/>
      <c r="F128" s="154"/>
      <c r="G128" s="177"/>
      <c r="H128" s="177"/>
      <c r="I128" s="158"/>
    </row>
    <row r="129" spans="1:9" ht="18.75" x14ac:dyDescent="0.3">
      <c r="A129" s="177"/>
      <c r="B129" s="177"/>
      <c r="C129" s="177"/>
      <c r="D129" s="177"/>
      <c r="E129" s="177"/>
      <c r="F129" s="154"/>
      <c r="G129" s="177"/>
      <c r="H129" s="177"/>
      <c r="I129" s="158"/>
    </row>
    <row r="130" spans="1:9" ht="18.75" x14ac:dyDescent="0.3">
      <c r="A130" s="177"/>
      <c r="B130" s="177"/>
      <c r="C130" s="177"/>
      <c r="D130" s="177"/>
      <c r="E130" s="177"/>
      <c r="F130" s="154"/>
      <c r="G130" s="177"/>
      <c r="H130" s="177"/>
      <c r="I130" s="158"/>
    </row>
    <row r="131" spans="1:9" ht="18.75" x14ac:dyDescent="0.3">
      <c r="A131" s="177"/>
      <c r="B131" s="177"/>
      <c r="C131" s="177"/>
      <c r="D131" s="177"/>
      <c r="E131" s="177"/>
      <c r="F131" s="154"/>
      <c r="G131" s="177"/>
      <c r="H131" s="177"/>
      <c r="I131" s="158"/>
    </row>
    <row r="132" spans="1:9" ht="18.75" x14ac:dyDescent="0.3">
      <c r="A132" s="177"/>
      <c r="B132" s="177"/>
      <c r="C132" s="177"/>
      <c r="D132" s="177"/>
      <c r="E132" s="177"/>
      <c r="F132" s="154"/>
      <c r="G132" s="177"/>
      <c r="H132" s="177"/>
      <c r="I132" s="158"/>
    </row>
    <row r="133" spans="1:9" ht="18.75" x14ac:dyDescent="0.3">
      <c r="A133" s="177"/>
      <c r="B133" s="177"/>
      <c r="C133" s="177"/>
      <c r="D133" s="177"/>
      <c r="E133" s="177"/>
      <c r="F133" s="154"/>
      <c r="G133" s="177"/>
      <c r="H133" s="177"/>
      <c r="I133" s="158"/>
    </row>
    <row r="250" spans="1:1" x14ac:dyDescent="0.25">
      <c r="A250" s="18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Ritonavir</vt:lpstr>
      <vt:lpstr>SST Lopinavir</vt:lpstr>
      <vt:lpstr>Uniformity</vt:lpstr>
      <vt:lpstr>Lopinavir</vt:lpstr>
      <vt:lpstr>Ritonavir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Quality Assurance</cp:lastModifiedBy>
  <cp:lastPrinted>2015-09-29T09:23:07Z</cp:lastPrinted>
  <dcterms:created xsi:type="dcterms:W3CDTF">2005-07-05T10:19:27Z</dcterms:created>
  <dcterms:modified xsi:type="dcterms:W3CDTF">2015-09-29T09:24:30Z</dcterms:modified>
  <cp:category/>
</cp:coreProperties>
</file>