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Uniformity" sheetId="2" r:id="rId1"/>
    <sheet name="LAMIVUDINE" sheetId="3" r:id="rId2"/>
    <sheet name="NEVIRAPINE" sheetId="4" r:id="rId3"/>
    <sheet name="ZIDOVUDINE" sheetId="5" r:id="rId4"/>
    <sheet name="SST (Nevirapine)" sheetId="6" r:id="rId5"/>
    <sheet name="SST(zidovudine)" sheetId="7" r:id="rId6"/>
    <sheet name="SST(lamivudine)" sheetId="8" r:id="rId7"/>
  </sheets>
  <definedNames>
    <definedName name="_xlnm.Print_Area" localSheetId="0">Uniformity!$A$1:$K$54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5" l="1"/>
  <c r="G95" i="5"/>
  <c r="E95" i="5"/>
  <c r="F115" i="5"/>
  <c r="F115" i="3"/>
  <c r="G120" i="4"/>
  <c r="G95" i="4"/>
  <c r="E95" i="4"/>
  <c r="F115" i="4"/>
  <c r="B98" i="4"/>
  <c r="G42" i="4"/>
  <c r="E42" i="4"/>
  <c r="B30" i="3"/>
  <c r="G42" i="3"/>
  <c r="E42" i="3"/>
  <c r="H72" i="5" l="1"/>
  <c r="G76" i="5"/>
  <c r="B69" i="5"/>
  <c r="B69" i="4"/>
  <c r="B57" i="4"/>
  <c r="C120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0" i="4"/>
  <c r="B116" i="4"/>
  <c r="D100" i="4" s="1"/>
  <c r="F95" i="4"/>
  <c r="D95" i="4"/>
  <c r="I92" i="4" s="1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I92" i="3" s="1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D49" i="2"/>
  <c r="C46" i="2"/>
  <c r="B57" i="5" s="1"/>
  <c r="C45" i="2"/>
  <c r="D41" i="2"/>
  <c r="D40" i="2"/>
  <c r="D37" i="2"/>
  <c r="D36" i="2"/>
  <c r="D33" i="2"/>
  <c r="D32" i="2"/>
  <c r="D29" i="2"/>
  <c r="D28" i="2"/>
  <c r="D25" i="2"/>
  <c r="D24" i="2"/>
  <c r="C19" i="2"/>
  <c r="D101" i="5" l="1"/>
  <c r="D102" i="5" s="1"/>
  <c r="D101" i="4"/>
  <c r="E93" i="4" s="1"/>
  <c r="D101" i="3"/>
  <c r="D102" i="3" s="1"/>
  <c r="F45" i="5"/>
  <c r="F46" i="5" s="1"/>
  <c r="F98" i="5"/>
  <c r="F99" i="5" s="1"/>
  <c r="I39" i="5"/>
  <c r="D44" i="4"/>
  <c r="D45" i="4" s="1"/>
  <c r="D46" i="4" s="1"/>
  <c r="D98" i="4"/>
  <c r="I39" i="4"/>
  <c r="F45" i="3"/>
  <c r="F46" i="3" s="1"/>
  <c r="F98" i="3"/>
  <c r="F99" i="3" s="1"/>
  <c r="I39" i="3"/>
  <c r="G92" i="5"/>
  <c r="G91" i="5"/>
  <c r="E41" i="3"/>
  <c r="D49" i="3"/>
  <c r="G41" i="3"/>
  <c r="D49" i="4"/>
  <c r="G41" i="4"/>
  <c r="E41" i="4"/>
  <c r="D49" i="5"/>
  <c r="G38" i="5"/>
  <c r="G41" i="5"/>
  <c r="C50" i="2"/>
  <c r="F44" i="4"/>
  <c r="F45" i="4" s="1"/>
  <c r="F46" i="4" s="1"/>
  <c r="F97" i="4"/>
  <c r="F98" i="4" s="1"/>
  <c r="D26" i="2"/>
  <c r="D30" i="2"/>
  <c r="D34" i="2"/>
  <c r="D38" i="2"/>
  <c r="D42" i="2"/>
  <c r="B49" i="2"/>
  <c r="D50" i="2"/>
  <c r="D44" i="3"/>
  <c r="D45" i="3" s="1"/>
  <c r="D46" i="3" s="1"/>
  <c r="D97" i="3"/>
  <c r="D98" i="3" s="1"/>
  <c r="D99" i="3" s="1"/>
  <c r="D44" i="5"/>
  <c r="D45" i="5" s="1"/>
  <c r="D46" i="5" s="1"/>
  <c r="D97" i="5"/>
  <c r="D98" i="5" s="1"/>
  <c r="D99" i="5" s="1"/>
  <c r="D27" i="2"/>
  <c r="D31" i="2"/>
  <c r="D35" i="2"/>
  <c r="D39" i="2"/>
  <c r="D43" i="2"/>
  <c r="C49" i="2"/>
  <c r="B57" i="3"/>
  <c r="B69" i="3" s="1"/>
  <c r="G93" i="3" l="1"/>
  <c r="D102" i="4"/>
  <c r="E92" i="4"/>
  <c r="D99" i="4"/>
  <c r="E93" i="5"/>
  <c r="G40" i="5"/>
  <c r="G93" i="5"/>
  <c r="G39" i="5"/>
  <c r="G94" i="5"/>
  <c r="E40" i="5"/>
  <c r="E39" i="4"/>
  <c r="E40" i="4"/>
  <c r="E91" i="4"/>
  <c r="E94" i="4"/>
  <c r="E38" i="4"/>
  <c r="G40" i="4"/>
  <c r="G38" i="3"/>
  <c r="G94" i="3"/>
  <c r="G91" i="3"/>
  <c r="G92" i="3"/>
  <c r="G40" i="3"/>
  <c r="E93" i="3"/>
  <c r="G39" i="3"/>
  <c r="E38" i="3"/>
  <c r="E38" i="5"/>
  <c r="E41" i="5"/>
  <c r="E91" i="3"/>
  <c r="E92" i="3"/>
  <c r="E94" i="3"/>
  <c r="G39" i="4"/>
  <c r="G38" i="4"/>
  <c r="E39" i="3"/>
  <c r="E91" i="5"/>
  <c r="E92" i="5"/>
  <c r="E94" i="5"/>
  <c r="G91" i="4"/>
  <c r="F99" i="4"/>
  <c r="G92" i="4"/>
  <c r="G93" i="4"/>
  <c r="E39" i="5"/>
  <c r="E40" i="3"/>
  <c r="G94" i="4"/>
  <c r="G95" i="3" l="1"/>
  <c r="E95" i="3"/>
  <c r="G42" i="5"/>
  <c r="D103" i="4"/>
  <c r="E109" i="4" s="1"/>
  <c r="F109" i="4" s="1"/>
  <c r="D50" i="4"/>
  <c r="G66" i="4" s="1"/>
  <c r="H66" i="4" s="1"/>
  <c r="D52" i="4"/>
  <c r="D52" i="3"/>
  <c r="D50" i="3"/>
  <c r="G70" i="3" s="1"/>
  <c r="H70" i="3" s="1"/>
  <c r="D103" i="5"/>
  <c r="D105" i="5"/>
  <c r="D50" i="5"/>
  <c r="E42" i="5"/>
  <c r="D52" i="5"/>
  <c r="D105" i="4"/>
  <c r="D103" i="3"/>
  <c r="D105" i="3"/>
  <c r="E110" i="4" l="1"/>
  <c r="F110" i="4" s="1"/>
  <c r="D104" i="4"/>
  <c r="E111" i="4"/>
  <c r="F111" i="4" s="1"/>
  <c r="E112" i="4"/>
  <c r="F112" i="4" s="1"/>
  <c r="E113" i="4"/>
  <c r="F113" i="4" s="1"/>
  <c r="E108" i="4"/>
  <c r="F108" i="4" s="1"/>
  <c r="D51" i="3"/>
  <c r="G67" i="4"/>
  <c r="H67" i="4" s="1"/>
  <c r="G71" i="4"/>
  <c r="H71" i="4" s="1"/>
  <c r="G60" i="4"/>
  <c r="H60" i="4" s="1"/>
  <c r="G65" i="4"/>
  <c r="H65" i="4" s="1"/>
  <c r="G69" i="4"/>
  <c r="H69" i="4" s="1"/>
  <c r="G62" i="4"/>
  <c r="H62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0" i="3"/>
  <c r="H60" i="3" s="1"/>
  <c r="G69" i="3"/>
  <c r="H69" i="3" s="1"/>
  <c r="G63" i="3"/>
  <c r="H63" i="3" s="1"/>
  <c r="G62" i="3"/>
  <c r="H62" i="3" s="1"/>
  <c r="G71" i="3"/>
  <c r="H71" i="3" s="1"/>
  <c r="G65" i="3"/>
  <c r="H65" i="3" s="1"/>
  <c r="G64" i="3"/>
  <c r="H64" i="3" s="1"/>
  <c r="G68" i="3"/>
  <c r="H68" i="3" s="1"/>
  <c r="G67" i="3"/>
  <c r="H67" i="3" s="1"/>
  <c r="G66" i="3"/>
  <c r="H66" i="3" s="1"/>
  <c r="G61" i="3"/>
  <c r="H61" i="3" s="1"/>
  <c r="E112" i="3"/>
  <c r="F112" i="3" s="1"/>
  <c r="E110" i="3"/>
  <c r="F110" i="3" s="1"/>
  <c r="E108" i="3"/>
  <c r="F108" i="3" s="1"/>
  <c r="E113" i="3"/>
  <c r="F113" i="3" s="1"/>
  <c r="E111" i="3"/>
  <c r="F111" i="3" s="1"/>
  <c r="E109" i="3"/>
  <c r="F109" i="3" s="1"/>
  <c r="D104" i="3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H60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H72" i="4" l="1"/>
  <c r="G76" i="4" s="1"/>
  <c r="F117" i="4"/>
  <c r="H74" i="4"/>
  <c r="H74" i="3"/>
  <c r="H72" i="3"/>
  <c r="H74" i="5"/>
  <c r="F117" i="3"/>
  <c r="F117" i="5"/>
  <c r="F116" i="4" l="1"/>
  <c r="H73" i="3"/>
  <c r="G76" i="3"/>
  <c r="H73" i="4"/>
  <c r="F116" i="5"/>
  <c r="G120" i="3"/>
  <c r="F116" i="3"/>
  <c r="H73" i="5"/>
</calcChain>
</file>

<file path=xl/sharedStrings.xml><?xml version="1.0" encoding="utf-8"?>
<sst xmlns="http://schemas.openxmlformats.org/spreadsheetml/2006/main" count="639" uniqueCount="136">
  <si>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</si>
  <si>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</si>
  <si>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</si>
  <si>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</si>
  <si>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</si>
  <si>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</si>
  <si>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</si>
  <si>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NDQD201508125</t>
  </si>
  <si>
    <t>Weight (mg):</t>
  </si>
  <si>
    <t xml:space="preserve">Lamivudine 30 mg, Zidovudine 60 mg, Nevirapine 50mg  </t>
  </si>
  <si>
    <t>Standard Conc (mg/mL):</t>
  </si>
  <si>
    <t xml:space="preserve">Each dispersible tablet contains:
Lamivudine USP 30 mg , Zidovudine USP 60 mg , Nevirapine USP 50 mg  </t>
  </si>
  <si>
    <t>2015-08-12 13:22:43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</si>
  <si>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</si>
  <si>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</si>
  <si>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</si>
  <si>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</si>
  <si>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</si>
  <si>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</si>
  <si>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</si>
  <si>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</si>
  <si>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</si>
  <si>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</si>
  <si>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</si>
  <si>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</si>
  <si>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</si>
  <si>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</si>
  <si>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</si>
  <si>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</si>
  <si>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</si>
  <si>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</si>
  <si>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</si>
  <si>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</si>
  <si>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</si>
  <si>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</si>
  <si>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</si>
  <si>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</si>
  <si>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</si>
  <si>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</si>
  <si>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</si>
  <si>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</si>
  <si>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</si>
  <si>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</si>
  <si>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</si>
  <si>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</si>
  <si>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</si>
  <si>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</si>
  <si>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</si>
  <si>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</si>
  <si>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</si>
  <si>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</si>
  <si>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</si>
  <si>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</si>
  <si>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</si>
  <si>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</si>
  <si>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</si>
  <si>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</si>
  <si>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</si>
  <si>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</si>
  <si>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</si>
  <si>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</si>
  <si>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</si>
  <si>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</si>
  <si>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</si>
  <si>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</si>
  <si>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</si>
  <si>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</si>
  <si>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</si>
  <si>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</si>
  <si>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</si>
  <si>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</si>
  <si>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</si>
  <si>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</si>
  <si>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</si>
  <si>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</si>
  <si>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</si>
  <si>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</si>
  <si>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</si>
  <si>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</si>
  <si>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</si>
  <si>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</si>
  <si>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</si>
  <si>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</si>
  <si>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</si>
  <si>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</si>
  <si>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</si>
  <si>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</si>
  <si>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</si>
  <si>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</si>
  <si>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</si>
  <si>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</si>
  <si>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</si>
  <si>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</si>
  <si>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</si>
  <si>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</si>
  <si>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</si>
  <si>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</si>
  <si>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</si>
  <si>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</si>
  <si>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</si>
  <si>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</si>
  <si>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</si>
  <si>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</si>
  <si>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</si>
  <si>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</si>
  <si>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</si>
  <si>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</si>
  <si>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</si>
  <si>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</si>
  <si>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</si>
  <si>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</si>
  <si>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</si>
  <si>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</si>
  <si>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</si>
  <si>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</si>
  <si>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</si>
  <si>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</si>
  <si>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</si>
  <si>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</si>
  <si>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</si>
  <si>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</si>
  <si>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</si>
  <si>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</si>
  <si>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</si>
  <si>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</si>
  <si>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</si>
  <si>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</si>
  <si>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</si>
  <si>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</si>
  <si>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</si>
  <si>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</si>
  <si>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Lamivudine 150mg + Zidovudine 300mg + Nevirapine 200mg Tablets</t>
  </si>
  <si>
    <t>Nevirapine</t>
  </si>
  <si>
    <t>zidovudine</t>
  </si>
  <si>
    <t xml:space="preserve">Lamivudine </t>
  </si>
  <si>
    <t>Mutua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</si>
</sst>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8" sqref="A8:K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4" t="s">
        <v>31</v>
      </c>
      <c r="B11" s="605"/>
      <c r="C11" s="605"/>
      <c r="D11" s="605"/>
      <c r="E11" s="605"/>
      <c r="F11" s="606"/>
      <c r="G11" s="43"/>
    </row>
    <row r="12" spans="1:7" ht="16.5" customHeight="1" x14ac:dyDescent="0.3">
      <c r="A12" s="603" t="s">
        <v>32</v>
      </c>
      <c r="B12" s="603"/>
      <c r="C12" s="603"/>
      <c r="D12" s="603"/>
      <c r="E12" s="603"/>
      <c r="F12" s="603"/>
      <c r="G12" s="42"/>
    </row>
    <row r="14" spans="1:7" ht="16.5" customHeight="1" x14ac:dyDescent="0.3">
      <c r="A14" s="608" t="s">
        <v>33</v>
      </c>
      <c r="B14" s="608"/>
      <c r="C14" s="12" t="s">
        <v>5</v>
      </c>
    </row>
    <row r="15" spans="1:7" ht="16.5" customHeight="1" x14ac:dyDescent="0.3">
      <c r="A15" s="608" t="s">
        <v>34</v>
      </c>
      <c r="B15" s="608"/>
      <c r="C15" s="12" t="s">
        <v>7</v>
      </c>
    </row>
    <row r="16" spans="1:7" ht="16.5" customHeight="1" x14ac:dyDescent="0.3">
      <c r="A16" s="608" t="s">
        <v>35</v>
      </c>
      <c r="B16" s="608"/>
      <c r="C16" s="12" t="s">
        <v>9</v>
      </c>
    </row>
    <row r="17" spans="1:5" ht="16.5" customHeight="1" x14ac:dyDescent="0.3">
      <c r="A17" s="608" t="s">
        <v>36</v>
      </c>
      <c r="B17" s="608"/>
      <c r="C17" s="12" t="s">
        <v>11</v>
      </c>
    </row>
    <row r="18" spans="1:5" ht="16.5" customHeight="1" x14ac:dyDescent="0.3">
      <c r="A18" s="608" t="s">
        <v>37</v>
      </c>
      <c r="B18" s="608"/>
      <c r="C18" s="49" t="s">
        <v>12</v>
      </c>
    </row>
    <row r="19" spans="1:5" ht="16.5" customHeight="1" x14ac:dyDescent="0.3">
      <c r="A19" s="608" t="s">
        <v>38</v>
      </c>
      <c r="B19" s="60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3" t="s">
        <v>1</v>
      </c>
      <c r="B21" s="603"/>
      <c r="C21" s="11" t="s">
        <v>39</v>
      </c>
      <c r="D21" s="18"/>
    </row>
    <row r="22" spans="1:5" ht="15.75" customHeight="1" x14ac:dyDescent="0.3">
      <c r="A22" s="607"/>
      <c r="B22" s="607"/>
      <c r="C22" s="9"/>
      <c r="D22" s="607"/>
      <c r="E22" s="60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343.88</v>
      </c>
      <c r="D24" s="39">
        <f t="shared" ref="D24:D43" si="0">(C24-$C$46)/$C$46</f>
        <v>-1.1322013236807885E-2</v>
      </c>
      <c r="E24" s="5"/>
    </row>
    <row r="25" spans="1:5" ht="15.75" customHeight="1" x14ac:dyDescent="0.3">
      <c r="C25" s="47">
        <v>355.89</v>
      </c>
      <c r="D25" s="40">
        <f t="shared" si="0"/>
        <v>2.3207539575294967E-2</v>
      </c>
      <c r="E25" s="5"/>
    </row>
    <row r="26" spans="1:5" ht="15.75" customHeight="1" x14ac:dyDescent="0.3">
      <c r="C26" s="47">
        <v>344.04</v>
      </c>
      <c r="D26" s="40">
        <f t="shared" si="0"/>
        <v>-1.0862002541559147E-2</v>
      </c>
      <c r="E26" s="5"/>
    </row>
    <row r="27" spans="1:5" ht="15.75" customHeight="1" x14ac:dyDescent="0.3">
      <c r="C27" s="47">
        <v>346.33</v>
      </c>
      <c r="D27" s="40">
        <f t="shared" si="0"/>
        <v>-4.2780994658127422E-3</v>
      </c>
      <c r="E27" s="5"/>
    </row>
    <row r="28" spans="1:5" ht="15.75" customHeight="1" x14ac:dyDescent="0.3">
      <c r="C28" s="47">
        <v>337.49</v>
      </c>
      <c r="D28" s="40">
        <f t="shared" si="0"/>
        <v>-2.9693690378301382E-2</v>
      </c>
      <c r="E28" s="5"/>
    </row>
    <row r="29" spans="1:5" ht="15.75" customHeight="1" x14ac:dyDescent="0.3">
      <c r="C29" s="47">
        <v>346.46</v>
      </c>
      <c r="D29" s="40">
        <f t="shared" si="0"/>
        <v>-3.9043407759232151E-3</v>
      </c>
      <c r="E29" s="5"/>
    </row>
    <row r="30" spans="1:5" ht="15.75" customHeight="1" x14ac:dyDescent="0.3">
      <c r="C30" s="47">
        <v>344.17</v>
      </c>
      <c r="D30" s="40">
        <f t="shared" si="0"/>
        <v>-1.0488243851669622E-2</v>
      </c>
      <c r="E30" s="5"/>
    </row>
    <row r="31" spans="1:5" ht="15.75" customHeight="1" x14ac:dyDescent="0.3">
      <c r="C31" s="47">
        <v>344.28</v>
      </c>
      <c r="D31" s="40">
        <f t="shared" si="0"/>
        <v>-1.0171986498686288E-2</v>
      </c>
      <c r="E31" s="5"/>
    </row>
    <row r="32" spans="1:5" ht="15.75" customHeight="1" x14ac:dyDescent="0.3">
      <c r="C32" s="47">
        <v>348.17</v>
      </c>
      <c r="D32" s="40">
        <f t="shared" si="0"/>
        <v>1.0120235295469912E-3</v>
      </c>
      <c r="E32" s="5"/>
    </row>
    <row r="33" spans="1:7" ht="15.75" customHeight="1" x14ac:dyDescent="0.3">
      <c r="C33" s="47">
        <v>353.09</v>
      </c>
      <c r="D33" s="40">
        <f t="shared" si="0"/>
        <v>1.5157352408443306E-2</v>
      </c>
      <c r="E33" s="5"/>
    </row>
    <row r="34" spans="1:7" ht="15.75" customHeight="1" x14ac:dyDescent="0.3">
      <c r="C34" s="47">
        <v>352.83</v>
      </c>
      <c r="D34" s="40">
        <f t="shared" si="0"/>
        <v>1.4409835028664253E-2</v>
      </c>
      <c r="E34" s="5"/>
    </row>
    <row r="35" spans="1:7" ht="15.75" customHeight="1" x14ac:dyDescent="0.3">
      <c r="C35" s="47">
        <v>343.8</v>
      </c>
      <c r="D35" s="40">
        <f t="shared" si="0"/>
        <v>-1.155201858443217E-2</v>
      </c>
      <c r="E35" s="5"/>
    </row>
    <row r="36" spans="1:7" ht="15.75" customHeight="1" x14ac:dyDescent="0.3">
      <c r="C36" s="47">
        <v>352.99</v>
      </c>
      <c r="D36" s="40">
        <f t="shared" si="0"/>
        <v>1.4869845723912988E-2</v>
      </c>
      <c r="E36" s="5"/>
    </row>
    <row r="37" spans="1:7" ht="15.75" customHeight="1" x14ac:dyDescent="0.3">
      <c r="C37" s="47">
        <v>350.38</v>
      </c>
      <c r="D37" s="40">
        <f t="shared" si="0"/>
        <v>7.3659212576691101E-3</v>
      </c>
      <c r="E37" s="5"/>
    </row>
    <row r="38" spans="1:7" ht="15.75" customHeight="1" x14ac:dyDescent="0.3">
      <c r="C38" s="47">
        <v>350.82</v>
      </c>
      <c r="D38" s="40">
        <f t="shared" si="0"/>
        <v>8.6309506696029305E-3</v>
      </c>
      <c r="E38" s="5"/>
    </row>
    <row r="39" spans="1:7" ht="15.75" customHeight="1" x14ac:dyDescent="0.3">
      <c r="C39" s="47">
        <v>351.71</v>
      </c>
      <c r="D39" s="40">
        <f t="shared" si="0"/>
        <v>1.1189760161923587E-2</v>
      </c>
      <c r="E39" s="5"/>
    </row>
    <row r="40" spans="1:7" ht="15.75" customHeight="1" x14ac:dyDescent="0.3">
      <c r="C40" s="47">
        <v>343.75</v>
      </c>
      <c r="D40" s="40">
        <f t="shared" si="0"/>
        <v>-1.169577192669741E-2</v>
      </c>
      <c r="E40" s="5"/>
    </row>
    <row r="41" spans="1:7" ht="15.75" customHeight="1" x14ac:dyDescent="0.3">
      <c r="C41" s="47">
        <v>348.31</v>
      </c>
      <c r="D41" s="40">
        <f t="shared" si="0"/>
        <v>1.4145328878895334E-3</v>
      </c>
      <c r="E41" s="5"/>
    </row>
    <row r="42" spans="1:7" ht="15.75" customHeight="1" x14ac:dyDescent="0.3">
      <c r="C42" s="47">
        <v>355.93</v>
      </c>
      <c r="D42" s="40">
        <f t="shared" si="0"/>
        <v>2.3322542249107191E-2</v>
      </c>
      <c r="E42" s="5"/>
    </row>
    <row r="43" spans="1:7" ht="16.5" customHeight="1" x14ac:dyDescent="0.3">
      <c r="C43" s="48">
        <v>342.04</v>
      </c>
      <c r="D43" s="41">
        <f t="shared" si="0"/>
        <v>-1.6612136232167455E-2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6956.3600000000006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347.81800000000004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1">
        <f>C46</f>
        <v>347.81800000000004</v>
      </c>
      <c r="C49" s="45">
        <f>-IF(C46&lt;=80,10%,IF(C46&lt;250,7.5%,5%))</f>
        <v>-0.05</v>
      </c>
      <c r="D49" s="33">
        <f>IF(C46&lt;=80,C46*0.9,IF(C46&lt;250,C46*0.925,C46*0.95))</f>
        <v>330.4271</v>
      </c>
    </row>
    <row r="50" spans="1:6" ht="17.25" customHeight="1" x14ac:dyDescent="0.3">
      <c r="B50" s="602"/>
      <c r="C50" s="46">
        <f>IF(C46&lt;=80, 10%, IF(C46&lt;250, 7.5%, 5%))</f>
        <v>0.05</v>
      </c>
      <c r="D50" s="33">
        <f>IF(C46&lt;=80, C46*1.1, IF(C46&lt;250, C46*1.075, C46*1.05))</f>
        <v>365.20890000000009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 t="s">
        <v>135</v>
      </c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45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46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50"/>
    </row>
    <row r="16" spans="1:9" ht="19.5" customHeight="1" x14ac:dyDescent="0.3">
      <c r="A16" s="610" t="s">
        <v>31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47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52" t="s">
        <v>33</v>
      </c>
      <c r="B18" s="609" t="s">
        <v>5</v>
      </c>
      <c r="C18" s="609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14" t="s">
        <v>9</v>
      </c>
      <c r="C20" s="614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14" t="s">
        <v>11</v>
      </c>
      <c r="C21" s="614"/>
      <c r="D21" s="614"/>
      <c r="E21" s="614"/>
      <c r="F21" s="614"/>
      <c r="G21" s="614"/>
      <c r="H21" s="614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09" t="s">
        <v>125</v>
      </c>
      <c r="C26" s="609"/>
    </row>
    <row r="27" spans="1:14" ht="26.25" customHeight="1" x14ac:dyDescent="0.4">
      <c r="A27" s="61" t="s">
        <v>48</v>
      </c>
      <c r="B27" s="615" t="s">
        <v>126</v>
      </c>
      <c r="C27" s="615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616" t="s">
        <v>50</v>
      </c>
      <c r="D29" s="617"/>
      <c r="E29" s="617"/>
      <c r="F29" s="617"/>
      <c r="G29" s="61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19" t="s">
        <v>53</v>
      </c>
      <c r="D31" s="620"/>
      <c r="E31" s="620"/>
      <c r="F31" s="620"/>
      <c r="G31" s="620"/>
      <c r="H31" s="62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19" t="s">
        <v>55</v>
      </c>
      <c r="D32" s="620"/>
      <c r="E32" s="620"/>
      <c r="F32" s="620"/>
      <c r="G32" s="620"/>
      <c r="H32" s="62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2" t="s">
        <v>59</v>
      </c>
      <c r="E36" s="623"/>
      <c r="F36" s="622" t="s">
        <v>60</v>
      </c>
      <c r="G36" s="62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451">
        <v>63505417</v>
      </c>
      <c r="E38" s="85">
        <f>IF(ISBLANK(D38),"-",$D$48/$D$45*D38)</f>
        <v>59530427.483875662</v>
      </c>
      <c r="F38" s="451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456">
        <v>62816346</v>
      </c>
      <c r="E39" s="90">
        <f>IF(ISBLANK(D39),"-",$D$48/$D$45*D39)</f>
        <v>58884487.450181507</v>
      </c>
      <c r="F39" s="456">
        <v>68386643</v>
      </c>
      <c r="G39" s="91">
        <f>IF(ISBLANK(F39),"-",$D$48/$F$45*F39)</f>
        <v>59578321.765563354</v>
      </c>
      <c r="I39" s="626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456">
        <v>63039899</v>
      </c>
      <c r="E40" s="90">
        <f>IF(ISBLANK(D40),"-",$D$48/$D$45*D40)</f>
        <v>59094047.615030162</v>
      </c>
      <c r="F40" s="456">
        <v>68339620</v>
      </c>
      <c r="G40" s="91">
        <f>IF(ISBLANK(F40),"-",$D$48/$F$45*F40)</f>
        <v>59537355.411587149</v>
      </c>
      <c r="I40" s="62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461"/>
      <c r="E41" s="95" t="str">
        <f>IF(ISBLANK(D41),"-",$D$48/$D$45*D41)</f>
        <v>-</v>
      </c>
      <c r="F41" s="461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471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27" t="s">
        <v>78</v>
      </c>
      <c r="B46" s="628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29"/>
      <c r="B47" s="630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30 mg, Zidovudine 60 mg, Nevirapine 50mg  </v>
      </c>
      <c r="H56" s="131"/>
    </row>
    <row r="57" spans="1:12" ht="18.75" x14ac:dyDescent="0.3">
      <c r="A57" s="128" t="s">
        <v>88</v>
      </c>
      <c r="B57" s="223">
        <f>Uniformity!C46</f>
        <v>347.81800000000004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31" t="s">
        <v>94</v>
      </c>
      <c r="D60" s="634">
        <v>363.22</v>
      </c>
      <c r="E60" s="134">
        <v>1</v>
      </c>
      <c r="F60" s="135">
        <v>62919876</v>
      </c>
      <c r="G60" s="225">
        <f>IF(ISBLANK(F60),"-",(F60/$D$50*$D$47*$B$68)*($B$57/$D$60))</f>
        <v>30.432547371708996</v>
      </c>
      <c r="H60" s="136">
        <f t="shared" ref="H60:H71" si="0">IF(ISBLANK(F60),"-",G60/$B$56)</f>
        <v>1.0144182457236333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632"/>
      <c r="D61" s="635"/>
      <c r="E61" s="137">
        <v>2</v>
      </c>
      <c r="F61" s="89">
        <v>63080852</v>
      </c>
      <c r="G61" s="226">
        <f>IF(ISBLANK(F61),"-",(F61/$D$50*$D$47*$B$68)*($B$57/$D$60))</f>
        <v>30.510406866309843</v>
      </c>
      <c r="H61" s="138">
        <f t="shared" si="0"/>
        <v>1.017013562210328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32"/>
      <c r="D62" s="635"/>
      <c r="E62" s="137">
        <v>3</v>
      </c>
      <c r="F62" s="139">
        <v>62823156</v>
      </c>
      <c r="G62" s="226">
        <f>IF(ISBLANK(F62),"-",(F62/$D$50*$D$47*$B$68)*($B$57/$D$60))</f>
        <v>30.385766669506214</v>
      </c>
      <c r="H62" s="138">
        <f t="shared" si="0"/>
        <v>1.0128588889835404</v>
      </c>
      <c r="L62" s="64"/>
    </row>
    <row r="63" spans="1:12" ht="27" customHeight="1" x14ac:dyDescent="0.4">
      <c r="A63" s="76" t="s">
        <v>97</v>
      </c>
      <c r="B63" s="77">
        <v>1</v>
      </c>
      <c r="C63" s="633"/>
      <c r="D63" s="636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31" t="s">
        <v>99</v>
      </c>
      <c r="D64" s="634">
        <v>390.4</v>
      </c>
      <c r="E64" s="134">
        <v>1</v>
      </c>
      <c r="F64" s="135">
        <v>68528260</v>
      </c>
      <c r="G64" s="227">
        <f>IF(ISBLANK(F64),"-",(F64/$D$50*$D$47*$B$68)*($B$57/$D$64))</f>
        <v>30.837566464624924</v>
      </c>
      <c r="H64" s="142">
        <f t="shared" si="0"/>
        <v>1.027918882154164</v>
      </c>
    </row>
    <row r="65" spans="1:8" ht="26.25" customHeight="1" x14ac:dyDescent="0.4">
      <c r="A65" s="76" t="s">
        <v>100</v>
      </c>
      <c r="B65" s="77">
        <v>1</v>
      </c>
      <c r="C65" s="632"/>
      <c r="D65" s="635"/>
      <c r="E65" s="137">
        <v>2</v>
      </c>
      <c r="F65" s="89">
        <v>68401814</v>
      </c>
      <c r="G65" s="228">
        <f>IF(ISBLANK(F65),"-",(F65/$D$50*$D$47*$B$68)*($B$57/$D$64))</f>
        <v>30.780666042387647</v>
      </c>
      <c r="H65" s="143">
        <f t="shared" si="0"/>
        <v>1.0260222014129217</v>
      </c>
    </row>
    <row r="66" spans="1:8" ht="26.25" customHeight="1" x14ac:dyDescent="0.4">
      <c r="A66" s="76" t="s">
        <v>101</v>
      </c>
      <c r="B66" s="77">
        <v>1</v>
      </c>
      <c r="C66" s="632"/>
      <c r="D66" s="635"/>
      <c r="E66" s="137">
        <v>3</v>
      </c>
      <c r="F66" s="89">
        <v>68272043</v>
      </c>
      <c r="G66" s="228">
        <f>IF(ISBLANK(F66),"-",(F66/$D$50*$D$47*$B$68)*($B$57/$D$64))</f>
        <v>30.722269377454367</v>
      </c>
      <c r="H66" s="143">
        <f t="shared" si="0"/>
        <v>1.0240756459151457</v>
      </c>
    </row>
    <row r="67" spans="1:8" ht="27" customHeight="1" x14ac:dyDescent="0.4">
      <c r="A67" s="76" t="s">
        <v>102</v>
      </c>
      <c r="B67" s="77">
        <v>1</v>
      </c>
      <c r="C67" s="633"/>
      <c r="D67" s="636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200</v>
      </c>
      <c r="C68" s="631" t="s">
        <v>104</v>
      </c>
      <c r="D68" s="634">
        <v>374.49</v>
      </c>
      <c r="E68" s="134">
        <v>1</v>
      </c>
      <c r="F68" s="135">
        <v>64546598</v>
      </c>
      <c r="G68" s="227">
        <f>IF(ISBLANK(F68),"-",(F68/$D$50*$D$47*$B$68)*($B$57/$D$68))</f>
        <v>30.27982317886978</v>
      </c>
      <c r="H68" s="138">
        <f t="shared" si="0"/>
        <v>1.0093274392956593</v>
      </c>
    </row>
    <row r="69" spans="1:8" ht="27" customHeight="1" x14ac:dyDescent="0.4">
      <c r="A69" s="124" t="s">
        <v>105</v>
      </c>
      <c r="B69" s="146">
        <f>(D47*B68)/B56*B57</f>
        <v>347.81800000000004</v>
      </c>
      <c r="C69" s="632"/>
      <c r="D69" s="635"/>
      <c r="E69" s="137">
        <v>2</v>
      </c>
      <c r="F69" s="89">
        <v>64110398</v>
      </c>
      <c r="G69" s="228">
        <f>IF(ISBLANK(F69),"-",(F69/$D$50*$D$47*$B$68)*($B$57/$D$68))</f>
        <v>30.075194905964945</v>
      </c>
      <c r="H69" s="138">
        <f t="shared" si="0"/>
        <v>1.0025064968654982</v>
      </c>
    </row>
    <row r="70" spans="1:8" ht="26.25" customHeight="1" x14ac:dyDescent="0.4">
      <c r="A70" s="644" t="s">
        <v>78</v>
      </c>
      <c r="B70" s="645"/>
      <c r="C70" s="632"/>
      <c r="D70" s="635"/>
      <c r="E70" s="137">
        <v>3</v>
      </c>
      <c r="F70" s="89">
        <v>64266681</v>
      </c>
      <c r="G70" s="228">
        <f>IF(ISBLANK(F70),"-",(F70/$D$50*$D$47*$B$68)*($B$57/$D$68))</f>
        <v>30.14850971654355</v>
      </c>
      <c r="H70" s="138">
        <f t="shared" si="0"/>
        <v>1.004950323884785</v>
      </c>
    </row>
    <row r="71" spans="1:8" ht="27" customHeight="1" x14ac:dyDescent="0.4">
      <c r="A71" s="646"/>
      <c r="B71" s="647"/>
      <c r="C71" s="643"/>
      <c r="D71" s="636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1.0154546318272972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597">
        <f>STDEV(H60:H71)/H72</f>
        <v>8.9929149350348424E-3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39" t="str">
        <f>B20</f>
        <v xml:space="preserve">Lamivudine 30 mg, Zidovudine 60 mg, Nevirapine 50mg  </v>
      </c>
      <c r="D76" s="639"/>
      <c r="E76" s="157" t="s">
        <v>108</v>
      </c>
      <c r="F76" s="157"/>
      <c r="G76" s="158">
        <f>H72</f>
        <v>1.0154546318272972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5" t="str">
        <f>B26</f>
        <v>lamivudine</v>
      </c>
      <c r="C79" s="625"/>
    </row>
    <row r="80" spans="1:8" ht="26.25" customHeight="1" x14ac:dyDescent="0.4">
      <c r="A80" s="61" t="s">
        <v>48</v>
      </c>
      <c r="B80" s="625" t="str">
        <f>B27</f>
        <v>WRS/L3/6</v>
      </c>
      <c r="C80" s="625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616" t="s">
        <v>50</v>
      </c>
      <c r="D82" s="617"/>
      <c r="E82" s="617"/>
      <c r="F82" s="617"/>
      <c r="G82" s="61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19" t="s">
        <v>111</v>
      </c>
      <c r="D84" s="620"/>
      <c r="E84" s="620"/>
      <c r="F84" s="620"/>
      <c r="G84" s="620"/>
      <c r="H84" s="62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19" t="s">
        <v>112</v>
      </c>
      <c r="D85" s="620"/>
      <c r="E85" s="620"/>
      <c r="F85" s="620"/>
      <c r="G85" s="620"/>
      <c r="H85" s="62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22" t="s">
        <v>60</v>
      </c>
      <c r="G89" s="624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626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626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6">
        <f>(B97/B96)*(B95/B94)*(B93/B92)*(B91/B90)*B89</f>
        <v>500</v>
      </c>
      <c r="C98" s="174" t="s">
        <v>115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627" t="s">
        <v>78</v>
      </c>
      <c r="B99" s="641"/>
      <c r="C99" s="174" t="s">
        <v>116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629"/>
      <c r="B100" s="642"/>
      <c r="C100" s="174" t="s">
        <v>80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12767158</v>
      </c>
      <c r="E108" s="230">
        <f t="shared" ref="E108:E113" si="1">IF(ISBLANK(D108),"-",D108/$D$103*$D$100*$B$116)</f>
        <v>29.239234385256783</v>
      </c>
      <c r="F108" s="197">
        <f t="shared" ref="F108:F113" si="2">IF(ISBLANK(D108), "-", E108/$B$56)</f>
        <v>0.97464114617522613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12829634</v>
      </c>
      <c r="E109" s="231">
        <f t="shared" si="1"/>
        <v>29.382316377933087</v>
      </c>
      <c r="F109" s="198">
        <f t="shared" si="2"/>
        <v>0.97941054593110288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12401818</v>
      </c>
      <c r="E110" s="231">
        <f t="shared" si="1"/>
        <v>28.4025358897647</v>
      </c>
      <c r="F110" s="198">
        <f t="shared" si="2"/>
        <v>0.94675119632548999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12407874</v>
      </c>
      <c r="E111" s="231">
        <f t="shared" si="1"/>
        <v>28.416405288376129</v>
      </c>
      <c r="F111" s="198">
        <f t="shared" si="2"/>
        <v>0.9472135096125377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11512129</v>
      </c>
      <c r="E112" s="231">
        <f t="shared" si="1"/>
        <v>26.364977867769142</v>
      </c>
      <c r="F112" s="198">
        <f t="shared" si="2"/>
        <v>0.87883259559230475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11589021</v>
      </c>
      <c r="E113" s="232">
        <f t="shared" si="1"/>
        <v>26.541075258461039</v>
      </c>
      <c r="F113" s="201">
        <f t="shared" si="2"/>
        <v>0.88470250861536792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0.93525858370867143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4.6643599327862884E-2</v>
      </c>
      <c r="I116" s="50"/>
    </row>
    <row r="117" spans="1:10" ht="27" customHeight="1" x14ac:dyDescent="0.4">
      <c r="A117" s="627" t="s">
        <v>78</v>
      </c>
      <c r="B117" s="628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29"/>
      <c r="B118" s="63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39" t="str">
        <f>B20</f>
        <v xml:space="preserve">Lamivudine 30 mg, Zidovudine 60 mg, Nevirapine 50mg  </v>
      </c>
      <c r="D120" s="639"/>
      <c r="E120" s="157" t="s">
        <v>124</v>
      </c>
      <c r="F120" s="157"/>
      <c r="G120" s="158">
        <f>F115</f>
        <v>0.93525858370867143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0" t="s">
        <v>26</v>
      </c>
      <c r="C122" s="640"/>
      <c r="E122" s="163" t="s">
        <v>27</v>
      </c>
      <c r="F122" s="215"/>
      <c r="G122" s="640" t="s">
        <v>28</v>
      </c>
      <c r="H122" s="640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6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45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46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233"/>
    </row>
    <row r="16" spans="1:9" ht="19.5" customHeight="1" x14ac:dyDescent="0.3">
      <c r="A16" s="610" t="s">
        <v>31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47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235" t="s">
        <v>33</v>
      </c>
      <c r="B18" s="609" t="s">
        <v>5</v>
      </c>
      <c r="C18" s="609"/>
      <c r="D18" s="405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07">
        <v>21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614" t="s">
        <v>9</v>
      </c>
      <c r="C20" s="614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614" t="s">
        <v>11</v>
      </c>
      <c r="C21" s="614"/>
      <c r="D21" s="614"/>
      <c r="E21" s="614"/>
      <c r="F21" s="614"/>
      <c r="G21" s="614"/>
      <c r="H21" s="614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609" t="s">
        <v>127</v>
      </c>
      <c r="C26" s="609"/>
    </row>
    <row r="27" spans="1:14" ht="26.25" customHeight="1" x14ac:dyDescent="0.4">
      <c r="A27" s="244" t="s">
        <v>48</v>
      </c>
      <c r="B27" s="615" t="s">
        <v>128</v>
      </c>
      <c r="C27" s="615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49</v>
      </c>
      <c r="B29" s="246"/>
      <c r="C29" s="616" t="s">
        <v>50</v>
      </c>
      <c r="D29" s="617"/>
      <c r="E29" s="617"/>
      <c r="F29" s="617"/>
      <c r="G29" s="618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619" t="s">
        <v>53</v>
      </c>
      <c r="D31" s="620"/>
      <c r="E31" s="620"/>
      <c r="F31" s="620"/>
      <c r="G31" s="620"/>
      <c r="H31" s="621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619" t="s">
        <v>55</v>
      </c>
      <c r="D32" s="620"/>
      <c r="E32" s="620"/>
      <c r="F32" s="620"/>
      <c r="G32" s="620"/>
      <c r="H32" s="621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50</v>
      </c>
      <c r="C36" s="234"/>
      <c r="D36" s="622" t="s">
        <v>59</v>
      </c>
      <c r="E36" s="623"/>
      <c r="F36" s="622" t="s">
        <v>60</v>
      </c>
      <c r="G36" s="624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5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10</v>
      </c>
      <c r="C38" s="266">
        <v>1</v>
      </c>
      <c r="D38" s="451">
        <v>55915806</v>
      </c>
      <c r="E38" s="268">
        <f>IF(ISBLANK(D38),"-",$D$48/$D$45*D38)</f>
        <v>52533921.659677826</v>
      </c>
      <c r="F38" s="451">
        <v>49286327</v>
      </c>
      <c r="G38" s="269">
        <f>IF(ISBLANK(F38),"-",$D$48/$F$45*F38)</f>
        <v>52713523.058403634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456">
        <v>55543086</v>
      </c>
      <c r="E39" s="273">
        <f>IF(ISBLANK(D39),"-",$D$48/$D$45*D39)</f>
        <v>52183744.407811061</v>
      </c>
      <c r="F39" s="456">
        <v>49171145</v>
      </c>
      <c r="G39" s="274">
        <f>IF(ISBLANK(F39),"-",$D$48/$F$45*F39)</f>
        <v>52590331.711381309</v>
      </c>
      <c r="I39" s="626">
        <f>ABS((F43/D43*D42)-F42)/D42</f>
        <v>4.2429831646600309E-3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456">
        <v>55727326</v>
      </c>
      <c r="E40" s="273">
        <f>IF(ISBLANK(D40),"-",$D$48/$D$45*D40)</f>
        <v>52356841.254999116</v>
      </c>
      <c r="F40" s="456">
        <v>49114126</v>
      </c>
      <c r="G40" s="274">
        <f>IF(ISBLANK(F40),"-",$D$48/$F$45*F40)</f>
        <v>52529347.812717743</v>
      </c>
      <c r="I40" s="626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461"/>
      <c r="E41" s="278" t="str">
        <f>IF(ISBLANK(D41),"-",$D$48/$D$45*D41)</f>
        <v>-</v>
      </c>
      <c r="F41" s="461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55728739.333333336</v>
      </c>
      <c r="E42" s="283">
        <f>AVERAGE(E38:E41)</f>
        <v>52358169.107496001</v>
      </c>
      <c r="F42" s="282">
        <f>AVERAGE(F38:F41)</f>
        <v>49190532.666666664</v>
      </c>
      <c r="G42" s="284">
        <f>AVERAGE(G38:G41)</f>
        <v>52611067.527500898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471">
        <v>21.47</v>
      </c>
      <c r="E43" s="275"/>
      <c r="F43" s="287">
        <v>18.86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21.47</v>
      </c>
      <c r="E44" s="290"/>
      <c r="F44" s="289">
        <f>F43*$B$34</f>
        <v>18.86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21.287504999999999</v>
      </c>
      <c r="E45" s="293"/>
      <c r="F45" s="292">
        <f>F44*$B$30/100</f>
        <v>18.69969</v>
      </c>
      <c r="H45" s="285"/>
    </row>
    <row r="46" spans="1:14" ht="19.5" customHeight="1" x14ac:dyDescent="0.3">
      <c r="A46" s="627" t="s">
        <v>78</v>
      </c>
      <c r="B46" s="628"/>
      <c r="C46" s="288" t="s">
        <v>79</v>
      </c>
      <c r="D46" s="294">
        <f>D45/$B$45</f>
        <v>0.21287504999999998</v>
      </c>
      <c r="E46" s="295"/>
      <c r="F46" s="296">
        <f>F45/$B$45</f>
        <v>0.18699689999999999</v>
      </c>
      <c r="H46" s="285"/>
    </row>
    <row r="47" spans="1:14" ht="27" customHeight="1" x14ac:dyDescent="0.4">
      <c r="A47" s="629"/>
      <c r="B47" s="630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20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52484618.317498453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3.5630641555268912E-3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312" t="s">
        <v>87</v>
      </c>
      <c r="B56" s="313">
        <v>50</v>
      </c>
      <c r="C56" s="234" t="str">
        <f>B20</f>
        <v xml:space="preserve">Lamivudine 30 mg, Zidovudine 60 mg, Nevirapine 50mg  </v>
      </c>
      <c r="H56" s="314"/>
    </row>
    <row r="57" spans="1:12" ht="18.75" x14ac:dyDescent="0.3">
      <c r="A57" s="311" t="s">
        <v>88</v>
      </c>
      <c r="B57" s="406">
        <f>Uniformity!C46</f>
        <v>347.81800000000004</v>
      </c>
      <c r="H57" s="314"/>
    </row>
    <row r="58" spans="1:12" ht="19.5" customHeight="1" x14ac:dyDescent="0.3">
      <c r="H58" s="314"/>
    </row>
    <row r="59" spans="1:12" s="3" customFormat="1" ht="27" customHeight="1" thickBot="1" x14ac:dyDescent="0.45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10</v>
      </c>
      <c r="C60" s="631" t="s">
        <v>94</v>
      </c>
      <c r="D60" s="634">
        <v>363.22</v>
      </c>
      <c r="E60" s="317">
        <v>1</v>
      </c>
      <c r="F60" s="318">
        <v>67129101</v>
      </c>
      <c r="G60" s="408">
        <f>IF(ISBLANK(F60),"-",(F60/$D$50*$D$47*$B$68)*($B$57/$D$60))</f>
        <v>48.991538571269295</v>
      </c>
      <c r="H60" s="319">
        <f t="shared" ref="H60:H71" si="0">IF(ISBLANK(F60),"-",G60/$B$56)</f>
        <v>0.97983077142538588</v>
      </c>
      <c r="L60" s="247"/>
    </row>
    <row r="61" spans="1:12" s="3" customFormat="1" ht="26.25" customHeight="1" x14ac:dyDescent="0.4">
      <c r="A61" s="259" t="s">
        <v>95</v>
      </c>
      <c r="B61" s="260">
        <v>20</v>
      </c>
      <c r="C61" s="632"/>
      <c r="D61" s="635"/>
      <c r="E61" s="320">
        <v>2</v>
      </c>
      <c r="F61" s="272">
        <v>67208977</v>
      </c>
      <c r="G61" s="409">
        <f>IF(ISBLANK(F61),"-",(F61/$D$50*$D$47*$B$68)*($B$57/$D$60))</f>
        <v>49.049832933574521</v>
      </c>
      <c r="H61" s="321">
        <f t="shared" si="0"/>
        <v>0.98099665867149044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632"/>
      <c r="D62" s="635"/>
      <c r="E62" s="320">
        <v>3</v>
      </c>
      <c r="F62" s="322">
        <v>66931103</v>
      </c>
      <c r="G62" s="409">
        <f>IF(ISBLANK(F62),"-",(F62/$D$50*$D$47*$B$68)*($B$57/$D$60))</f>
        <v>48.847037505270592</v>
      </c>
      <c r="H62" s="321">
        <f t="shared" si="0"/>
        <v>0.97694075010541181</v>
      </c>
      <c r="L62" s="247"/>
    </row>
    <row r="63" spans="1:12" ht="27" customHeight="1" thickBot="1" x14ac:dyDescent="0.45">
      <c r="A63" s="259" t="s">
        <v>97</v>
      </c>
      <c r="B63" s="260">
        <v>1</v>
      </c>
      <c r="C63" s="633"/>
      <c r="D63" s="636"/>
      <c r="E63" s="323">
        <v>4</v>
      </c>
      <c r="F63" s="324"/>
      <c r="G63" s="409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631" t="s">
        <v>99</v>
      </c>
      <c r="D64" s="634">
        <v>390.4</v>
      </c>
      <c r="E64" s="317">
        <v>1</v>
      </c>
      <c r="F64" s="318">
        <v>72688088</v>
      </c>
      <c r="G64" s="410">
        <f>IF(ISBLANK(F64),"-",(F64/$D$50*$D$47*$B$68)*($B$57/$D$64))</f>
        <v>49.355259291965922</v>
      </c>
      <c r="H64" s="325">
        <f t="shared" si="0"/>
        <v>0.98710518583931839</v>
      </c>
    </row>
    <row r="65" spans="1:8" ht="26.25" customHeight="1" x14ac:dyDescent="0.4">
      <c r="A65" s="259" t="s">
        <v>100</v>
      </c>
      <c r="B65" s="260">
        <v>1</v>
      </c>
      <c r="C65" s="632"/>
      <c r="D65" s="635"/>
      <c r="E65" s="320">
        <v>2</v>
      </c>
      <c r="F65" s="272">
        <v>72549188</v>
      </c>
      <c r="G65" s="411">
        <f>IF(ISBLANK(F65),"-",(F65/$D$50*$D$47*$B$68)*($B$57/$D$64))</f>
        <v>49.260946101121583</v>
      </c>
      <c r="H65" s="326">
        <f t="shared" si="0"/>
        <v>0.98521892202243166</v>
      </c>
    </row>
    <row r="66" spans="1:8" ht="26.25" customHeight="1" x14ac:dyDescent="0.4">
      <c r="A66" s="259" t="s">
        <v>101</v>
      </c>
      <c r="B66" s="260">
        <v>1</v>
      </c>
      <c r="C66" s="632"/>
      <c r="D66" s="635"/>
      <c r="E66" s="320">
        <v>3</v>
      </c>
      <c r="F66" s="272">
        <v>72512648</v>
      </c>
      <c r="G66" s="411">
        <f>IF(ISBLANK(F66),"-",(F66/$D$50*$D$47*$B$68)*($B$57/$D$64))</f>
        <v>49.236135417223444</v>
      </c>
      <c r="H66" s="326">
        <f t="shared" si="0"/>
        <v>0.98472270834446884</v>
      </c>
    </row>
    <row r="67" spans="1:8" ht="27" customHeight="1" thickBot="1" x14ac:dyDescent="0.45">
      <c r="A67" s="259" t="s">
        <v>102</v>
      </c>
      <c r="B67" s="260">
        <v>1</v>
      </c>
      <c r="C67" s="633"/>
      <c r="D67" s="636"/>
      <c r="E67" s="323">
        <v>4</v>
      </c>
      <c r="F67" s="324"/>
      <c r="G67" s="412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200</v>
      </c>
      <c r="C68" s="631" t="s">
        <v>104</v>
      </c>
      <c r="D68" s="634">
        <v>374.49</v>
      </c>
      <c r="E68" s="317">
        <v>1</v>
      </c>
      <c r="F68" s="318">
        <v>68027898</v>
      </c>
      <c r="G68" s="410">
        <f>IF(ISBLANK(F68),"-",(F68/$D$50*$D$47*$B$68)*($B$57/$D$68))</f>
        <v>48.153385714393877</v>
      </c>
      <c r="H68" s="321">
        <f t="shared" si="0"/>
        <v>0.96306771428787752</v>
      </c>
    </row>
    <row r="69" spans="1:8" ht="27" customHeight="1" thickBot="1" x14ac:dyDescent="0.45">
      <c r="A69" s="307" t="s">
        <v>105</v>
      </c>
      <c r="B69" s="329">
        <f>(D47*B68)/B56*B57</f>
        <v>278.25440000000003</v>
      </c>
      <c r="C69" s="632"/>
      <c r="D69" s="635"/>
      <c r="E69" s="320">
        <v>2</v>
      </c>
      <c r="F69" s="272">
        <v>67681369</v>
      </c>
      <c r="G69" s="411">
        <f>IF(ISBLANK(F69),"-",(F69/$D$50*$D$47*$B$68)*($B$57/$D$68))</f>
        <v>47.908095986373418</v>
      </c>
      <c r="H69" s="321">
        <f t="shared" si="0"/>
        <v>0.95816191972746834</v>
      </c>
    </row>
    <row r="70" spans="1:8" ht="26.25" customHeight="1" x14ac:dyDescent="0.4">
      <c r="A70" s="644" t="s">
        <v>78</v>
      </c>
      <c r="B70" s="645"/>
      <c r="C70" s="632"/>
      <c r="D70" s="635"/>
      <c r="E70" s="320">
        <v>3</v>
      </c>
      <c r="F70" s="272">
        <v>67867596</v>
      </c>
      <c r="G70" s="411">
        <f>IF(ISBLANK(F70),"-",(F70/$D$50*$D$47*$B$68)*($B$57/$D$68))</f>
        <v>48.039916325161997</v>
      </c>
      <c r="H70" s="321">
        <f t="shared" si="0"/>
        <v>0.96079832650323993</v>
      </c>
    </row>
    <row r="71" spans="1:8" ht="27" customHeight="1" thickBot="1" x14ac:dyDescent="0.45">
      <c r="A71" s="646"/>
      <c r="B71" s="647"/>
      <c r="C71" s="643"/>
      <c r="D71" s="636"/>
      <c r="E71" s="323">
        <v>4</v>
      </c>
      <c r="F71" s="324"/>
      <c r="G71" s="412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2"/>
      <c r="G72" s="333" t="s">
        <v>71</v>
      </c>
      <c r="H72" s="334">
        <f>AVERAGE(H60:H71)</f>
        <v>0.97520477299189912</v>
      </c>
    </row>
    <row r="73" spans="1:8" ht="26.25" customHeight="1" x14ac:dyDescent="0.4">
      <c r="C73" s="331"/>
      <c r="D73" s="331"/>
      <c r="E73" s="331"/>
      <c r="F73" s="332"/>
      <c r="G73" s="335" t="s">
        <v>84</v>
      </c>
      <c r="H73" s="413">
        <f>STDEV(H60:H71)/H72</f>
        <v>1.1667829336515003E-2</v>
      </c>
    </row>
    <row r="74" spans="1:8" ht="27" customHeight="1" x14ac:dyDescent="0.4">
      <c r="A74" s="331"/>
      <c r="B74" s="331"/>
      <c r="C74" s="332"/>
      <c r="D74" s="332"/>
      <c r="E74" s="336"/>
      <c r="F74" s="332"/>
      <c r="G74" s="337" t="s">
        <v>20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639" t="str">
        <f>B20</f>
        <v xml:space="preserve">Lamivudine 30 mg, Zidovudine 60 mg, Nevirapine 50mg  </v>
      </c>
      <c r="D76" s="639"/>
      <c r="E76" s="340" t="s">
        <v>108</v>
      </c>
      <c r="F76" s="340"/>
      <c r="G76" s="341">
        <f>H72</f>
        <v>0.97520477299189912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625" t="str">
        <f>B26</f>
        <v>NEVIRAPINE</v>
      </c>
      <c r="C79" s="625"/>
    </row>
    <row r="80" spans="1:8" ht="26.25" customHeight="1" x14ac:dyDescent="0.4">
      <c r="A80" s="244" t="s">
        <v>48</v>
      </c>
      <c r="B80" s="625" t="str">
        <f>B27</f>
        <v>WRS/N1-2</v>
      </c>
      <c r="C80" s="625"/>
    </row>
    <row r="81" spans="1:12" ht="27" customHeight="1" x14ac:dyDescent="0.4">
      <c r="A81" s="244" t="s">
        <v>6</v>
      </c>
      <c r="B81" s="343">
        <f>B28</f>
        <v>99.15</v>
      </c>
    </row>
    <row r="82" spans="1:12" s="3" customFormat="1" ht="27" customHeight="1" x14ac:dyDescent="0.4">
      <c r="A82" s="244" t="s">
        <v>49</v>
      </c>
      <c r="B82" s="246">
        <v>0</v>
      </c>
      <c r="C82" s="616" t="s">
        <v>50</v>
      </c>
      <c r="D82" s="617"/>
      <c r="E82" s="617"/>
      <c r="F82" s="617"/>
      <c r="G82" s="618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619" t="s">
        <v>111</v>
      </c>
      <c r="D84" s="620"/>
      <c r="E84" s="620"/>
      <c r="F84" s="620"/>
      <c r="G84" s="620"/>
      <c r="H84" s="621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619" t="s">
        <v>112</v>
      </c>
      <c r="D85" s="620"/>
      <c r="E85" s="620"/>
      <c r="F85" s="620"/>
      <c r="G85" s="620"/>
      <c r="H85" s="621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50</v>
      </c>
      <c r="D89" s="344" t="s">
        <v>59</v>
      </c>
      <c r="E89" s="345"/>
      <c r="F89" s="622" t="s">
        <v>60</v>
      </c>
      <c r="G89" s="624"/>
    </row>
    <row r="90" spans="1:12" ht="27" customHeight="1" x14ac:dyDescent="0.4">
      <c r="A90" s="259" t="s">
        <v>61</v>
      </c>
      <c r="B90" s="260">
        <v>5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50</v>
      </c>
      <c r="C91" s="348">
        <v>1</v>
      </c>
      <c r="D91" s="267">
        <v>11350545</v>
      </c>
      <c r="E91" s="268">
        <f>IF(ISBLANK(D91),"-",$D$101/$D$98*D91)</f>
        <v>14454358.257308329</v>
      </c>
      <c r="F91" s="267">
        <v>10533026</v>
      </c>
      <c r="G91" s="269">
        <f>IF(ISBLANK(F91),"-",$D$101/$F$98*F91)</f>
        <v>14338792.052933685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11319093</v>
      </c>
      <c r="E92" s="273">
        <f>IF(ISBLANK(D92),"-",$D$101/$D$98*D92)</f>
        <v>14414305.689267864</v>
      </c>
      <c r="F92" s="272">
        <v>10434900</v>
      </c>
      <c r="G92" s="274">
        <f>IF(ISBLANK(F92),"-",$D$101/$F$98*F92)</f>
        <v>14205211.417227842</v>
      </c>
      <c r="I92" s="626">
        <f>ABS((F96/D96*D95)-F95)/D95</f>
        <v>1.0070068781508162E-2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11391076</v>
      </c>
      <c r="E93" s="273">
        <f>IF(ISBLANK(D93),"-",$D$101/$D$98*D93)</f>
        <v>14505972.48327959</v>
      </c>
      <c r="F93" s="272">
        <v>10551330</v>
      </c>
      <c r="G93" s="274">
        <f>IF(ISBLANK(F93),"-",$D$101/$F$98*F93)</f>
        <v>14363709.607465204</v>
      </c>
      <c r="I93" s="626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11353571.333333334</v>
      </c>
      <c r="E95" s="283">
        <f>AVERAGE(E91:E94)</f>
        <v>14458212.14328526</v>
      </c>
      <c r="F95" s="353">
        <f>AVERAGE(F91:F94)</f>
        <v>10506418.666666666</v>
      </c>
      <c r="G95" s="354">
        <f>AVERAGE(G91:G94)</f>
        <v>14302571.025875578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22</v>
      </c>
      <c r="E96" s="275"/>
      <c r="F96" s="287">
        <v>20.58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22</v>
      </c>
      <c r="E97" s="290"/>
      <c r="F97" s="289">
        <f>F96*$B$87</f>
        <v>20.58</v>
      </c>
    </row>
    <row r="98" spans="1:10" ht="19.5" customHeight="1" x14ac:dyDescent="0.3">
      <c r="A98" s="259" t="s">
        <v>76</v>
      </c>
      <c r="B98" s="359">
        <f>(B97/B96)*(B95/B94)*(B93/B92)*(B91/B90)*B89</f>
        <v>500</v>
      </c>
      <c r="C98" s="357" t="s">
        <v>115</v>
      </c>
      <c r="D98" s="360">
        <f>D97*$B$83/100</f>
        <v>21.813000000000002</v>
      </c>
      <c r="E98" s="293"/>
      <c r="F98" s="292">
        <f>F97*$B$83/100</f>
        <v>20.405069999999998</v>
      </c>
    </row>
    <row r="99" spans="1:10" ht="19.5" customHeight="1" x14ac:dyDescent="0.3">
      <c r="A99" s="627" t="s">
        <v>78</v>
      </c>
      <c r="B99" s="641"/>
      <c r="C99" s="357" t="s">
        <v>116</v>
      </c>
      <c r="D99" s="361">
        <f>D98/$B$98</f>
        <v>4.3626000000000005E-2</v>
      </c>
      <c r="E99" s="293"/>
      <c r="F99" s="296">
        <f>F98/$B$98</f>
        <v>4.0810139999999995E-2</v>
      </c>
      <c r="G99" s="362"/>
      <c r="H99" s="285"/>
    </row>
    <row r="100" spans="1:10" ht="19.5" customHeight="1" x14ac:dyDescent="0.3">
      <c r="A100" s="629"/>
      <c r="B100" s="642"/>
      <c r="C100" s="357" t="s">
        <v>80</v>
      </c>
      <c r="D100" s="363">
        <f>$B$56/$B$116</f>
        <v>5.5555555555555552E-2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27.777777777777775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27.777777777777775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14380391.58458042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7.2992046207855064E-3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13720731</v>
      </c>
      <c r="E108" s="414">
        <f t="shared" ref="E108:E113" si="1">IF(ISBLANK(D108),"-",D108/$D$103*$D$100*$B$116)</f>
        <v>47.706388658818753</v>
      </c>
      <c r="F108" s="380">
        <f t="shared" ref="F108:F113" si="2">IF(ISBLANK(D108), "-", E108/$B$56)</f>
        <v>0.95412777317637509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13793876</v>
      </c>
      <c r="E109" s="415">
        <f t="shared" si="1"/>
        <v>47.960710662394895</v>
      </c>
      <c r="F109" s="381">
        <f t="shared" si="2"/>
        <v>0.95921421324789791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14229246</v>
      </c>
      <c r="E110" s="415">
        <f t="shared" si="1"/>
        <v>49.47447333512639</v>
      </c>
      <c r="F110" s="381">
        <f t="shared" si="2"/>
        <v>0.9894894667025278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14221904</v>
      </c>
      <c r="E111" s="415">
        <f t="shared" si="1"/>
        <v>49.448945518457371</v>
      </c>
      <c r="F111" s="381">
        <f t="shared" si="2"/>
        <v>0.98897891036914742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12883228</v>
      </c>
      <c r="E112" s="415">
        <f t="shared" si="1"/>
        <v>44.794426925808558</v>
      </c>
      <c r="F112" s="381">
        <f t="shared" si="2"/>
        <v>0.89588853851617112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12963883</v>
      </c>
      <c r="E113" s="416">
        <f t="shared" si="1"/>
        <v>45.074860874792549</v>
      </c>
      <c r="F113" s="384">
        <f t="shared" si="2"/>
        <v>0.90149721749585099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/>
      <c r="E115" s="387" t="s">
        <v>71</v>
      </c>
      <c r="F115" s="388">
        <f>AVERAGE(F108:F113)</f>
        <v>0.94819935325132843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9"/>
      <c r="D116" s="390"/>
      <c r="E116" s="351" t="s">
        <v>84</v>
      </c>
      <c r="F116" s="391">
        <f>STDEV(F108:F113)/F115</f>
        <v>4.3334485125315167E-2</v>
      </c>
      <c r="I116" s="233"/>
    </row>
    <row r="117" spans="1:10" ht="27" customHeight="1" x14ac:dyDescent="0.4">
      <c r="A117" s="627" t="s">
        <v>78</v>
      </c>
      <c r="B117" s="628"/>
      <c r="C117" s="392"/>
      <c r="D117" s="393"/>
      <c r="E117" s="394" t="s">
        <v>20</v>
      </c>
      <c r="F117" s="395">
        <f>COUNT(F108:F113)</f>
        <v>6</v>
      </c>
      <c r="I117" s="233"/>
      <c r="J117" s="371"/>
    </row>
    <row r="118" spans="1:10" ht="19.5" customHeight="1" x14ac:dyDescent="0.3">
      <c r="A118" s="629"/>
      <c r="B118" s="630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4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639" t="str">
        <f>B20</f>
        <v xml:space="preserve">Lamivudine 30 mg, Zidovudine 60 mg, Nevirapine 50mg  </v>
      </c>
      <c r="D120" s="639"/>
      <c r="E120" s="340" t="s">
        <v>124</v>
      </c>
      <c r="F120" s="340"/>
      <c r="G120" s="341">
        <f>F115</f>
        <v>0.94819935325132843</v>
      </c>
      <c r="H120" s="233"/>
      <c r="I120" s="233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640" t="s">
        <v>26</v>
      </c>
      <c r="C122" s="640"/>
      <c r="E122" s="346" t="s">
        <v>27</v>
      </c>
      <c r="F122" s="398"/>
      <c r="G122" s="640" t="s">
        <v>28</v>
      </c>
      <c r="H122" s="640"/>
    </row>
    <row r="123" spans="1:10" ht="69.95" customHeight="1" x14ac:dyDescent="0.3">
      <c r="A123" s="399" t="s">
        <v>29</v>
      </c>
      <c r="B123" s="400"/>
      <c r="C123" s="400"/>
      <c r="E123" s="400"/>
      <c r="F123" s="233"/>
      <c r="G123" s="401"/>
      <c r="H123" s="401"/>
    </row>
    <row r="124" spans="1:10" ht="69.95" customHeight="1" x14ac:dyDescent="0.3">
      <c r="A124" s="399" t="s">
        <v>30</v>
      </c>
      <c r="B124" s="402"/>
      <c r="C124" s="402"/>
      <c r="E124" s="402"/>
      <c r="F124" s="233"/>
      <c r="G124" s="403"/>
      <c r="H124" s="403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7" t="s">
        <v>45</v>
      </c>
      <c r="B1" s="637"/>
      <c r="C1" s="637"/>
      <c r="D1" s="637"/>
      <c r="E1" s="637"/>
      <c r="F1" s="637"/>
      <c r="G1" s="637"/>
      <c r="H1" s="637"/>
      <c r="I1" s="637"/>
    </row>
    <row r="2" spans="1:9" ht="18.7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</row>
    <row r="3" spans="1:9" ht="18.75" customHeight="1" x14ac:dyDescent="0.25">
      <c r="A3" s="637"/>
      <c r="B3" s="637"/>
      <c r="C3" s="637"/>
      <c r="D3" s="637"/>
      <c r="E3" s="637"/>
      <c r="F3" s="637"/>
      <c r="G3" s="637"/>
      <c r="H3" s="637"/>
      <c r="I3" s="637"/>
    </row>
    <row r="4" spans="1:9" ht="18.75" customHeight="1" x14ac:dyDescent="0.25">
      <c r="A4" s="637"/>
      <c r="B4" s="637"/>
      <c r="C4" s="637"/>
      <c r="D4" s="637"/>
      <c r="E4" s="637"/>
      <c r="F4" s="637"/>
      <c r="G4" s="637"/>
      <c r="H4" s="637"/>
      <c r="I4" s="637"/>
    </row>
    <row r="5" spans="1:9" ht="18.75" customHeight="1" x14ac:dyDescent="0.25">
      <c r="A5" s="637"/>
      <c r="B5" s="637"/>
      <c r="C5" s="637"/>
      <c r="D5" s="637"/>
      <c r="E5" s="637"/>
      <c r="F5" s="637"/>
      <c r="G5" s="637"/>
      <c r="H5" s="637"/>
      <c r="I5" s="637"/>
    </row>
    <row r="6" spans="1:9" ht="18.75" customHeight="1" x14ac:dyDescent="0.25">
      <c r="A6" s="637"/>
      <c r="B6" s="637"/>
      <c r="C6" s="637"/>
      <c r="D6" s="637"/>
      <c r="E6" s="637"/>
      <c r="F6" s="637"/>
      <c r="G6" s="637"/>
      <c r="H6" s="637"/>
      <c r="I6" s="637"/>
    </row>
    <row r="7" spans="1:9" ht="18.75" customHeight="1" x14ac:dyDescent="0.25">
      <c r="A7" s="637"/>
      <c r="B7" s="637"/>
      <c r="C7" s="637"/>
      <c r="D7" s="637"/>
      <c r="E7" s="637"/>
      <c r="F7" s="637"/>
      <c r="G7" s="637"/>
      <c r="H7" s="637"/>
      <c r="I7" s="637"/>
    </row>
    <row r="8" spans="1:9" x14ac:dyDescent="0.25">
      <c r="A8" s="638" t="s">
        <v>46</v>
      </c>
      <c r="B8" s="638"/>
      <c r="C8" s="638"/>
      <c r="D8" s="638"/>
      <c r="E8" s="638"/>
      <c r="F8" s="638"/>
      <c r="G8" s="638"/>
      <c r="H8" s="638"/>
      <c r="I8" s="638"/>
    </row>
    <row r="9" spans="1:9" x14ac:dyDescent="0.25">
      <c r="A9" s="638"/>
      <c r="B9" s="638"/>
      <c r="C9" s="638"/>
      <c r="D9" s="638"/>
      <c r="E9" s="638"/>
      <c r="F9" s="638"/>
      <c r="G9" s="638"/>
      <c r="H9" s="638"/>
      <c r="I9" s="638"/>
    </row>
    <row r="10" spans="1:9" x14ac:dyDescent="0.25">
      <c r="A10" s="638"/>
      <c r="B10" s="638"/>
      <c r="C10" s="638"/>
      <c r="D10" s="638"/>
      <c r="E10" s="638"/>
      <c r="F10" s="638"/>
      <c r="G10" s="638"/>
      <c r="H10" s="638"/>
      <c r="I10" s="638"/>
    </row>
    <row r="11" spans="1:9" x14ac:dyDescent="0.25">
      <c r="A11" s="638"/>
      <c r="B11" s="638"/>
      <c r="C11" s="638"/>
      <c r="D11" s="638"/>
      <c r="E11" s="638"/>
      <c r="F11" s="638"/>
      <c r="G11" s="638"/>
      <c r="H11" s="638"/>
      <c r="I11" s="638"/>
    </row>
    <row r="12" spans="1:9" x14ac:dyDescent="0.25">
      <c r="A12" s="638"/>
      <c r="B12" s="638"/>
      <c r="C12" s="638"/>
      <c r="D12" s="638"/>
      <c r="E12" s="638"/>
      <c r="F12" s="638"/>
      <c r="G12" s="638"/>
      <c r="H12" s="638"/>
      <c r="I12" s="638"/>
    </row>
    <row r="13" spans="1:9" x14ac:dyDescent="0.25">
      <c r="A13" s="638"/>
      <c r="B13" s="638"/>
      <c r="C13" s="638"/>
      <c r="D13" s="638"/>
      <c r="E13" s="638"/>
      <c r="F13" s="638"/>
      <c r="G13" s="638"/>
      <c r="H13" s="638"/>
      <c r="I13" s="638"/>
    </row>
    <row r="14" spans="1:9" x14ac:dyDescent="0.25">
      <c r="A14" s="638"/>
      <c r="B14" s="638"/>
      <c r="C14" s="638"/>
      <c r="D14" s="638"/>
      <c r="E14" s="638"/>
      <c r="F14" s="638"/>
      <c r="G14" s="638"/>
      <c r="H14" s="638"/>
      <c r="I14" s="638"/>
    </row>
    <row r="15" spans="1:9" ht="19.5" customHeight="1" x14ac:dyDescent="0.3">
      <c r="A15" s="417"/>
    </row>
    <row r="16" spans="1:9" ht="19.5" customHeight="1" x14ac:dyDescent="0.3">
      <c r="A16" s="610" t="s">
        <v>31</v>
      </c>
      <c r="B16" s="611"/>
      <c r="C16" s="611"/>
      <c r="D16" s="611"/>
      <c r="E16" s="611"/>
      <c r="F16" s="611"/>
      <c r="G16" s="611"/>
      <c r="H16" s="612"/>
    </row>
    <row r="17" spans="1:14" ht="20.25" customHeight="1" x14ac:dyDescent="0.25">
      <c r="A17" s="613" t="s">
        <v>47</v>
      </c>
      <c r="B17" s="613"/>
      <c r="C17" s="613"/>
      <c r="D17" s="613"/>
      <c r="E17" s="613"/>
      <c r="F17" s="613"/>
      <c r="G17" s="613"/>
      <c r="H17" s="613"/>
    </row>
    <row r="18" spans="1:14" ht="26.25" customHeight="1" x14ac:dyDescent="0.4">
      <c r="A18" s="419" t="s">
        <v>33</v>
      </c>
      <c r="B18" s="609" t="s">
        <v>5</v>
      </c>
      <c r="C18" s="609"/>
      <c r="D18" s="589"/>
      <c r="E18" s="420"/>
      <c r="F18" s="421"/>
      <c r="G18" s="421"/>
      <c r="H18" s="421"/>
    </row>
    <row r="19" spans="1:14" ht="26.25" customHeight="1" x14ac:dyDescent="0.4">
      <c r="A19" s="419" t="s">
        <v>34</v>
      </c>
      <c r="B19" s="422" t="s">
        <v>7</v>
      </c>
      <c r="C19" s="591">
        <v>21</v>
      </c>
      <c r="D19" s="421"/>
      <c r="E19" s="421"/>
      <c r="F19" s="421"/>
      <c r="G19" s="421"/>
      <c r="H19" s="421"/>
    </row>
    <row r="20" spans="1:14" ht="26.25" customHeight="1" x14ac:dyDescent="0.4">
      <c r="A20" s="419" t="s">
        <v>35</v>
      </c>
      <c r="B20" s="614" t="s">
        <v>9</v>
      </c>
      <c r="C20" s="614"/>
      <c r="D20" s="421"/>
      <c r="E20" s="421"/>
      <c r="F20" s="421"/>
      <c r="G20" s="421"/>
      <c r="H20" s="421"/>
    </row>
    <row r="21" spans="1:14" ht="26.25" customHeight="1" x14ac:dyDescent="0.4">
      <c r="A21" s="419" t="s">
        <v>36</v>
      </c>
      <c r="B21" s="614" t="s">
        <v>11</v>
      </c>
      <c r="C21" s="614"/>
      <c r="D21" s="614"/>
      <c r="E21" s="614"/>
      <c r="F21" s="614"/>
      <c r="G21" s="614"/>
      <c r="H21" s="614"/>
      <c r="I21" s="423"/>
    </row>
    <row r="22" spans="1:14" ht="26.25" customHeight="1" x14ac:dyDescent="0.4">
      <c r="A22" s="419" t="s">
        <v>37</v>
      </c>
      <c r="B22" s="424" t="s">
        <v>12</v>
      </c>
      <c r="C22" s="421"/>
      <c r="D22" s="421"/>
      <c r="E22" s="421"/>
      <c r="F22" s="421"/>
      <c r="G22" s="421"/>
      <c r="H22" s="421"/>
    </row>
    <row r="23" spans="1:14" ht="26.25" customHeight="1" x14ac:dyDescent="0.4">
      <c r="A23" s="419" t="s">
        <v>38</v>
      </c>
      <c r="B23" s="424"/>
      <c r="C23" s="421"/>
      <c r="D23" s="421"/>
      <c r="E23" s="421"/>
      <c r="F23" s="421"/>
      <c r="G23" s="421"/>
      <c r="H23" s="421"/>
    </row>
    <row r="24" spans="1:14" ht="18.75" x14ac:dyDescent="0.3">
      <c r="A24" s="419"/>
      <c r="B24" s="425"/>
    </row>
    <row r="25" spans="1:14" ht="18.75" x14ac:dyDescent="0.3">
      <c r="A25" s="426" t="s">
        <v>1</v>
      </c>
      <c r="B25" s="425"/>
    </row>
    <row r="26" spans="1:14" ht="26.25" customHeight="1" x14ac:dyDescent="0.4">
      <c r="A26" s="427" t="s">
        <v>4</v>
      </c>
      <c r="B26" s="609" t="s">
        <v>129</v>
      </c>
      <c r="C26" s="609"/>
    </row>
    <row r="27" spans="1:14" ht="26.25" customHeight="1" x14ac:dyDescent="0.4">
      <c r="A27" s="428" t="s">
        <v>48</v>
      </c>
      <c r="B27" s="615" t="s">
        <v>130</v>
      </c>
      <c r="C27" s="615"/>
    </row>
    <row r="28" spans="1:14" ht="27" customHeight="1" x14ac:dyDescent="0.4">
      <c r="A28" s="428" t="s">
        <v>6</v>
      </c>
      <c r="B28" s="429">
        <v>99</v>
      </c>
    </row>
    <row r="29" spans="1:14" s="3" customFormat="1" ht="27" customHeight="1" x14ac:dyDescent="0.4">
      <c r="A29" s="428" t="s">
        <v>49</v>
      </c>
      <c r="B29" s="430"/>
      <c r="C29" s="616" t="s">
        <v>50</v>
      </c>
      <c r="D29" s="617"/>
      <c r="E29" s="617"/>
      <c r="F29" s="617"/>
      <c r="G29" s="618"/>
      <c r="I29" s="431"/>
      <c r="J29" s="431"/>
      <c r="K29" s="431"/>
      <c r="L29" s="431"/>
    </row>
    <row r="30" spans="1:14" s="3" customFormat="1" ht="19.5" customHeight="1" x14ac:dyDescent="0.3">
      <c r="A30" s="428" t="s">
        <v>51</v>
      </c>
      <c r="B30" s="432">
        <f>B28-B29</f>
        <v>99</v>
      </c>
      <c r="C30" s="433"/>
      <c r="D30" s="433"/>
      <c r="E30" s="433"/>
      <c r="F30" s="433"/>
      <c r="G30" s="434"/>
      <c r="I30" s="431"/>
      <c r="J30" s="431"/>
      <c r="K30" s="431"/>
      <c r="L30" s="431"/>
    </row>
    <row r="31" spans="1:14" s="3" customFormat="1" ht="27" customHeight="1" x14ac:dyDescent="0.4">
      <c r="A31" s="428" t="s">
        <v>52</v>
      </c>
      <c r="B31" s="435">
        <v>1</v>
      </c>
      <c r="C31" s="619" t="s">
        <v>53</v>
      </c>
      <c r="D31" s="620"/>
      <c r="E31" s="620"/>
      <c r="F31" s="620"/>
      <c r="G31" s="620"/>
      <c r="H31" s="621"/>
      <c r="I31" s="431"/>
      <c r="J31" s="431"/>
      <c r="K31" s="431"/>
      <c r="L31" s="431"/>
    </row>
    <row r="32" spans="1:14" s="3" customFormat="1" ht="27" customHeight="1" x14ac:dyDescent="0.4">
      <c r="A32" s="428" t="s">
        <v>54</v>
      </c>
      <c r="B32" s="435">
        <v>1</v>
      </c>
      <c r="C32" s="619" t="s">
        <v>55</v>
      </c>
      <c r="D32" s="620"/>
      <c r="E32" s="620"/>
      <c r="F32" s="620"/>
      <c r="G32" s="620"/>
      <c r="H32" s="621"/>
      <c r="I32" s="431"/>
      <c r="J32" s="431"/>
      <c r="K32" s="431"/>
      <c r="L32" s="436"/>
      <c r="M32" s="436"/>
      <c r="N32" s="437"/>
    </row>
    <row r="33" spans="1:14" s="3" customFormat="1" ht="17.25" customHeight="1" x14ac:dyDescent="0.3">
      <c r="A33" s="428"/>
      <c r="B33" s="438"/>
      <c r="C33" s="439"/>
      <c r="D33" s="439"/>
      <c r="E33" s="439"/>
      <c r="F33" s="439"/>
      <c r="G33" s="439"/>
      <c r="H33" s="439"/>
      <c r="I33" s="431"/>
      <c r="J33" s="431"/>
      <c r="K33" s="431"/>
      <c r="L33" s="436"/>
      <c r="M33" s="436"/>
      <c r="N33" s="437"/>
    </row>
    <row r="34" spans="1:14" s="3" customFormat="1" ht="18.75" x14ac:dyDescent="0.3">
      <c r="A34" s="428" t="s">
        <v>56</v>
      </c>
      <c r="B34" s="440">
        <f>B31/B32</f>
        <v>1</v>
      </c>
      <c r="C34" s="418" t="s">
        <v>57</v>
      </c>
      <c r="D34" s="418"/>
      <c r="E34" s="418"/>
      <c r="F34" s="418"/>
      <c r="G34" s="418"/>
      <c r="I34" s="431"/>
      <c r="J34" s="431"/>
      <c r="K34" s="431"/>
      <c r="L34" s="436"/>
      <c r="M34" s="436"/>
      <c r="N34" s="437"/>
    </row>
    <row r="35" spans="1:14" s="3" customFormat="1" ht="19.5" customHeight="1" x14ac:dyDescent="0.3">
      <c r="A35" s="428"/>
      <c r="B35" s="432"/>
      <c r="G35" s="418"/>
      <c r="I35" s="431"/>
      <c r="J35" s="431"/>
      <c r="K35" s="431"/>
      <c r="L35" s="436"/>
      <c r="M35" s="436"/>
      <c r="N35" s="437"/>
    </row>
    <row r="36" spans="1:14" s="3" customFormat="1" ht="27" customHeight="1" x14ac:dyDescent="0.4">
      <c r="A36" s="441" t="s">
        <v>58</v>
      </c>
      <c r="B36" s="442">
        <v>50</v>
      </c>
      <c r="C36" s="418"/>
      <c r="D36" s="622" t="s">
        <v>59</v>
      </c>
      <c r="E36" s="623"/>
      <c r="F36" s="622" t="s">
        <v>60</v>
      </c>
      <c r="G36" s="624"/>
      <c r="J36" s="431"/>
      <c r="K36" s="431"/>
      <c r="L36" s="436"/>
      <c r="M36" s="436"/>
      <c r="N36" s="437"/>
    </row>
    <row r="37" spans="1:14" s="3" customFormat="1" ht="27" customHeight="1" x14ac:dyDescent="0.4">
      <c r="A37" s="443" t="s">
        <v>61</v>
      </c>
      <c r="B37" s="444">
        <v>5</v>
      </c>
      <c r="C37" s="445" t="s">
        <v>62</v>
      </c>
      <c r="D37" s="446" t="s">
        <v>63</v>
      </c>
      <c r="E37" s="447" t="s">
        <v>64</v>
      </c>
      <c r="F37" s="446" t="s">
        <v>63</v>
      </c>
      <c r="G37" s="448" t="s">
        <v>64</v>
      </c>
      <c r="I37" s="449" t="s">
        <v>65</v>
      </c>
      <c r="J37" s="431"/>
      <c r="K37" s="431"/>
      <c r="L37" s="436"/>
      <c r="M37" s="436"/>
      <c r="N37" s="437"/>
    </row>
    <row r="38" spans="1:14" s="3" customFormat="1" ht="26.25" customHeight="1" x14ac:dyDescent="0.4">
      <c r="A38" s="443" t="s">
        <v>66</v>
      </c>
      <c r="B38" s="444">
        <v>10</v>
      </c>
      <c r="C38" s="450">
        <v>1</v>
      </c>
      <c r="D38" s="451">
        <v>115883001</v>
      </c>
      <c r="E38" s="452">
        <f>IF(ISBLANK(D38),"-",$D$48/$D$45*D38)</f>
        <v>104918018.84998778</v>
      </c>
      <c r="F38" s="451">
        <v>107512421</v>
      </c>
      <c r="G38" s="453">
        <f>IF(ISBLANK(F38),"-",$D$48/$F$45*F38)</f>
        <v>104522045.28441294</v>
      </c>
      <c r="I38" s="454"/>
      <c r="J38" s="431"/>
      <c r="K38" s="431"/>
      <c r="L38" s="436"/>
      <c r="M38" s="436"/>
      <c r="N38" s="437"/>
    </row>
    <row r="39" spans="1:14" s="3" customFormat="1" ht="26.25" customHeight="1" x14ac:dyDescent="0.4">
      <c r="A39" s="443" t="s">
        <v>67</v>
      </c>
      <c r="B39" s="444">
        <v>1</v>
      </c>
      <c r="C39" s="455">
        <v>2</v>
      </c>
      <c r="D39" s="456">
        <v>114251717</v>
      </c>
      <c r="E39" s="457">
        <f>IF(ISBLANK(D39),"-",$D$48/$D$45*D39)</f>
        <v>103441088.80861196</v>
      </c>
      <c r="F39" s="456">
        <v>107073330</v>
      </c>
      <c r="G39" s="458">
        <f>IF(ISBLANK(F39),"-",$D$48/$F$45*F39)</f>
        <v>104095167.26456091</v>
      </c>
      <c r="I39" s="626">
        <f>ABS((F43/D43*D42)-F42)/D42</f>
        <v>1.1530554293568573E-4</v>
      </c>
      <c r="J39" s="431"/>
      <c r="K39" s="431"/>
      <c r="L39" s="436"/>
      <c r="M39" s="436"/>
      <c r="N39" s="437"/>
    </row>
    <row r="40" spans="1:14" ht="26.25" customHeight="1" x14ac:dyDescent="0.4">
      <c r="A40" s="443" t="s">
        <v>68</v>
      </c>
      <c r="B40" s="444">
        <v>1</v>
      </c>
      <c r="C40" s="455">
        <v>3</v>
      </c>
      <c r="D40" s="456">
        <v>114791180</v>
      </c>
      <c r="E40" s="457">
        <f>IF(ISBLANK(D40),"-",$D$48/$D$45*D40)</f>
        <v>103929507.20228879</v>
      </c>
      <c r="F40" s="456">
        <v>106677213</v>
      </c>
      <c r="G40" s="458">
        <f>IF(ISBLANK(F40),"-",$D$48/$F$45*F40)</f>
        <v>103710067.95578499</v>
      </c>
      <c r="I40" s="626"/>
      <c r="L40" s="436"/>
      <c r="M40" s="436"/>
      <c r="N40" s="459"/>
    </row>
    <row r="41" spans="1:14" ht="27" customHeight="1" x14ac:dyDescent="0.4">
      <c r="A41" s="443" t="s">
        <v>69</v>
      </c>
      <c r="B41" s="444">
        <v>1</v>
      </c>
      <c r="C41" s="460">
        <v>4</v>
      </c>
      <c r="D41" s="461"/>
      <c r="E41" s="462" t="str">
        <f>IF(ISBLANK(D41),"-",$D$48/$D$45*D41)</f>
        <v>-</v>
      </c>
      <c r="F41" s="461"/>
      <c r="G41" s="463" t="str">
        <f>IF(ISBLANK(F41),"-",$D$48/$F$45*F41)</f>
        <v>-</v>
      </c>
      <c r="I41" s="464"/>
      <c r="L41" s="436"/>
      <c r="M41" s="436"/>
      <c r="N41" s="459"/>
    </row>
    <row r="42" spans="1:14" ht="27" customHeight="1" x14ac:dyDescent="0.4">
      <c r="A42" s="443" t="s">
        <v>70</v>
      </c>
      <c r="B42" s="444">
        <v>1</v>
      </c>
      <c r="C42" s="465" t="s">
        <v>71</v>
      </c>
      <c r="D42" s="466">
        <f>AVERAGE(D38:D41)</f>
        <v>114975299.33333333</v>
      </c>
      <c r="E42" s="467">
        <f>AVERAGE(E38:E41)</f>
        <v>104096204.95362951</v>
      </c>
      <c r="F42" s="466">
        <f>AVERAGE(F38:F41)</f>
        <v>107087654.66666667</v>
      </c>
      <c r="G42" s="468">
        <f>AVERAGE(G38:G41)</f>
        <v>104109093.50158627</v>
      </c>
      <c r="H42" s="469"/>
    </row>
    <row r="43" spans="1:14" ht="26.25" customHeight="1" x14ac:dyDescent="0.4">
      <c r="A43" s="443" t="s">
        <v>72</v>
      </c>
      <c r="B43" s="444">
        <v>1</v>
      </c>
      <c r="C43" s="470" t="s">
        <v>73</v>
      </c>
      <c r="D43" s="471">
        <v>33.47</v>
      </c>
      <c r="E43" s="459"/>
      <c r="F43" s="471">
        <v>31.17</v>
      </c>
      <c r="H43" s="469"/>
    </row>
    <row r="44" spans="1:14" ht="26.25" customHeight="1" x14ac:dyDescent="0.4">
      <c r="A44" s="443" t="s">
        <v>74</v>
      </c>
      <c r="B44" s="444">
        <v>1</v>
      </c>
      <c r="C44" s="472" t="s">
        <v>75</v>
      </c>
      <c r="D44" s="473">
        <f>D43*$B$34</f>
        <v>33.47</v>
      </c>
      <c r="E44" s="474"/>
      <c r="F44" s="473">
        <f>F43*$B$34</f>
        <v>31.17</v>
      </c>
      <c r="H44" s="469"/>
    </row>
    <row r="45" spans="1:14" ht="19.5" customHeight="1" x14ac:dyDescent="0.3">
      <c r="A45" s="443" t="s">
        <v>76</v>
      </c>
      <c r="B45" s="475">
        <f>(B44/B43)*(B42/B41)*(B40/B39)*(B38/B37)*B36</f>
        <v>100</v>
      </c>
      <c r="C45" s="472" t="s">
        <v>77</v>
      </c>
      <c r="D45" s="476">
        <f>D44*$B$30/100</f>
        <v>33.135300000000001</v>
      </c>
      <c r="E45" s="477"/>
      <c r="F45" s="476">
        <f>F44*$B$30/100</f>
        <v>30.858300000000003</v>
      </c>
      <c r="H45" s="469"/>
    </row>
    <row r="46" spans="1:14" ht="19.5" customHeight="1" x14ac:dyDescent="0.3">
      <c r="A46" s="627" t="s">
        <v>78</v>
      </c>
      <c r="B46" s="628"/>
      <c r="C46" s="472" t="s">
        <v>79</v>
      </c>
      <c r="D46" s="478">
        <f>D45/$B$45</f>
        <v>0.33135300000000001</v>
      </c>
      <c r="E46" s="479"/>
      <c r="F46" s="480">
        <f>F45/$B$45</f>
        <v>0.30858300000000005</v>
      </c>
      <c r="H46" s="469"/>
    </row>
    <row r="47" spans="1:14" ht="27" customHeight="1" x14ac:dyDescent="0.4">
      <c r="A47" s="629"/>
      <c r="B47" s="630"/>
      <c r="C47" s="481" t="s">
        <v>80</v>
      </c>
      <c r="D47" s="482">
        <v>0.3</v>
      </c>
      <c r="E47" s="483"/>
      <c r="F47" s="479"/>
      <c r="H47" s="469"/>
    </row>
    <row r="48" spans="1:14" ht="18.75" x14ac:dyDescent="0.3">
      <c r="C48" s="484" t="s">
        <v>81</v>
      </c>
      <c r="D48" s="476">
        <f>D47*$B$45</f>
        <v>30</v>
      </c>
      <c r="F48" s="485"/>
      <c r="H48" s="469"/>
    </row>
    <row r="49" spans="1:12" ht="19.5" customHeight="1" x14ac:dyDescent="0.3">
      <c r="C49" s="486" t="s">
        <v>82</v>
      </c>
      <c r="D49" s="487">
        <f>D48/B34</f>
        <v>30</v>
      </c>
      <c r="F49" s="485"/>
      <c r="H49" s="469"/>
    </row>
    <row r="50" spans="1:12" ht="18.75" x14ac:dyDescent="0.3">
      <c r="C50" s="441" t="s">
        <v>83</v>
      </c>
      <c r="D50" s="488">
        <f>AVERAGE(E38:E41,G38:G41)</f>
        <v>104102649.22760791</v>
      </c>
      <c r="F50" s="489"/>
      <c r="H50" s="469"/>
    </row>
    <row r="51" spans="1:12" ht="18.75" x14ac:dyDescent="0.3">
      <c r="C51" s="443" t="s">
        <v>84</v>
      </c>
      <c r="D51" s="490">
        <f>STDEV(E38:E41,G38:G41)/D50</f>
        <v>5.195252447214538E-3</v>
      </c>
      <c r="F51" s="489"/>
      <c r="H51" s="469"/>
    </row>
    <row r="52" spans="1:12" ht="19.5" customHeight="1" x14ac:dyDescent="0.3">
      <c r="C52" s="491" t="s">
        <v>20</v>
      </c>
      <c r="D52" s="492">
        <f>COUNT(E38:E41,G38:G41)</f>
        <v>6</v>
      </c>
      <c r="F52" s="489"/>
    </row>
    <row r="54" spans="1:12" ht="18.75" x14ac:dyDescent="0.3">
      <c r="A54" s="493" t="s">
        <v>1</v>
      </c>
      <c r="B54" s="494" t="s">
        <v>85</v>
      </c>
    </row>
    <row r="55" spans="1:12" ht="18.75" x14ac:dyDescent="0.3">
      <c r="A55" s="418" t="s">
        <v>86</v>
      </c>
      <c r="B55" s="495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496" t="s">
        <v>87</v>
      </c>
      <c r="B56" s="497">
        <v>60</v>
      </c>
      <c r="C56" s="418" t="str">
        <f>B20</f>
        <v xml:space="preserve">Lamivudine 30 mg, Zidovudine 60 mg, Nevirapine 50mg  </v>
      </c>
      <c r="H56" s="498"/>
    </row>
    <row r="57" spans="1:12" ht="18.75" x14ac:dyDescent="0.3">
      <c r="A57" s="495" t="s">
        <v>88</v>
      </c>
      <c r="B57" s="590">
        <f>Uniformity!C46</f>
        <v>347.81800000000004</v>
      </c>
      <c r="H57" s="498"/>
    </row>
    <row r="58" spans="1:12" ht="19.5" customHeight="1" x14ac:dyDescent="0.3">
      <c r="H58" s="498"/>
    </row>
    <row r="59" spans="1:12" s="3" customFormat="1" ht="27" customHeight="1" x14ac:dyDescent="0.4">
      <c r="A59" s="441" t="s">
        <v>89</v>
      </c>
      <c r="B59" s="442">
        <v>100</v>
      </c>
      <c r="C59" s="418"/>
      <c r="D59" s="499" t="s">
        <v>90</v>
      </c>
      <c r="E59" s="500" t="s">
        <v>62</v>
      </c>
      <c r="F59" s="500" t="s">
        <v>63</v>
      </c>
      <c r="G59" s="500" t="s">
        <v>91</v>
      </c>
      <c r="H59" s="445" t="s">
        <v>92</v>
      </c>
      <c r="L59" s="431"/>
    </row>
    <row r="60" spans="1:12" s="3" customFormat="1" ht="26.25" customHeight="1" x14ac:dyDescent="0.4">
      <c r="A60" s="443" t="s">
        <v>93</v>
      </c>
      <c r="B60" s="444">
        <v>10</v>
      </c>
      <c r="C60" s="631" t="s">
        <v>94</v>
      </c>
      <c r="D60" s="634">
        <v>363.22</v>
      </c>
      <c r="E60" s="501">
        <v>1</v>
      </c>
      <c r="F60" s="502">
        <v>106230971</v>
      </c>
      <c r="G60" s="592">
        <f>IF(ISBLANK(F60),"-",(F60/$D$50*$D$47*$B$68)*($B$57/$D$60))</f>
        <v>58.630408391207951</v>
      </c>
      <c r="H60" s="503">
        <f t="shared" ref="H60:H71" si="0">IF(ISBLANK(F60),"-",G60/$B$56)</f>
        <v>0.97717347318679915</v>
      </c>
      <c r="L60" s="431"/>
    </row>
    <row r="61" spans="1:12" s="3" customFormat="1" ht="26.25" customHeight="1" x14ac:dyDescent="0.4">
      <c r="A61" s="443" t="s">
        <v>95</v>
      </c>
      <c r="B61" s="444">
        <v>20</v>
      </c>
      <c r="C61" s="632"/>
      <c r="D61" s="635"/>
      <c r="E61" s="504">
        <v>2</v>
      </c>
      <c r="F61" s="456">
        <v>106493269</v>
      </c>
      <c r="G61" s="593">
        <f>IF(ISBLANK(F61),"-",(F61/$D$50*$D$47*$B$68)*($B$57/$D$60))</f>
        <v>58.775174448746832</v>
      </c>
      <c r="H61" s="505">
        <f t="shared" si="0"/>
        <v>0.97958624081244716</v>
      </c>
      <c r="L61" s="431"/>
    </row>
    <row r="62" spans="1:12" s="3" customFormat="1" ht="26.25" customHeight="1" x14ac:dyDescent="0.4">
      <c r="A62" s="443" t="s">
        <v>96</v>
      </c>
      <c r="B62" s="444">
        <v>1</v>
      </c>
      <c r="C62" s="632"/>
      <c r="D62" s="635"/>
      <c r="E62" s="504">
        <v>3</v>
      </c>
      <c r="F62" s="506">
        <v>106017820</v>
      </c>
      <c r="G62" s="593">
        <f>IF(ISBLANK(F62),"-",(F62/$D$50*$D$47*$B$68)*($B$57/$D$60))</f>
        <v>58.512767273355472</v>
      </c>
      <c r="H62" s="505">
        <f t="shared" si="0"/>
        <v>0.97521278788925791</v>
      </c>
      <c r="L62" s="431"/>
    </row>
    <row r="63" spans="1:12" ht="27" customHeight="1" x14ac:dyDescent="0.4">
      <c r="A63" s="443" t="s">
        <v>97</v>
      </c>
      <c r="B63" s="444">
        <v>1</v>
      </c>
      <c r="C63" s="633"/>
      <c r="D63" s="636"/>
      <c r="E63" s="507">
        <v>4</v>
      </c>
      <c r="F63" s="508"/>
      <c r="G63" s="593" t="str">
        <f>IF(ISBLANK(F63),"-",(F63/$D$50*$D$47*$B$68)*($B$57/$D$60))</f>
        <v>-</v>
      </c>
      <c r="H63" s="505" t="str">
        <f t="shared" si="0"/>
        <v>-</v>
      </c>
    </row>
    <row r="64" spans="1:12" ht="26.25" customHeight="1" x14ac:dyDescent="0.4">
      <c r="A64" s="443" t="s">
        <v>98</v>
      </c>
      <c r="B64" s="444">
        <v>1</v>
      </c>
      <c r="C64" s="631" t="s">
        <v>99</v>
      </c>
      <c r="D64" s="634">
        <v>390.4</v>
      </c>
      <c r="E64" s="501">
        <v>1</v>
      </c>
      <c r="F64" s="502">
        <v>117078038</v>
      </c>
      <c r="G64" s="594">
        <f>IF(ISBLANK(F64),"-",(F64/$D$50*$D$47*$B$68)*($B$57/$D$64))</f>
        <v>60.118363375656251</v>
      </c>
      <c r="H64" s="509">
        <f t="shared" si="0"/>
        <v>1.0019727229276041</v>
      </c>
    </row>
    <row r="65" spans="1:8" ht="26.25" customHeight="1" x14ac:dyDescent="0.4">
      <c r="A65" s="443" t="s">
        <v>100</v>
      </c>
      <c r="B65" s="444">
        <v>1</v>
      </c>
      <c r="C65" s="632"/>
      <c r="D65" s="635"/>
      <c r="E65" s="504">
        <v>2</v>
      </c>
      <c r="F65" s="456">
        <v>116797464</v>
      </c>
      <c r="G65" s="595">
        <f>IF(ISBLANK(F65),"-",(F65/$D$50*$D$47*$B$68)*($B$57/$D$64))</f>
        <v>59.974291524317564</v>
      </c>
      <c r="H65" s="510">
        <f t="shared" si="0"/>
        <v>0.9995715254052927</v>
      </c>
    </row>
    <row r="66" spans="1:8" ht="26.25" customHeight="1" x14ac:dyDescent="0.4">
      <c r="A66" s="443" t="s">
        <v>101</v>
      </c>
      <c r="B66" s="444">
        <v>1</v>
      </c>
      <c r="C66" s="632"/>
      <c r="D66" s="635"/>
      <c r="E66" s="504">
        <v>3</v>
      </c>
      <c r="F66" s="456">
        <v>116705575</v>
      </c>
      <c r="G66" s="595">
        <f>IF(ISBLANK(F66),"-",(F66/$D$50*$D$47*$B$68)*($B$57/$D$64))</f>
        <v>59.927107471812107</v>
      </c>
      <c r="H66" s="510">
        <f t="shared" si="0"/>
        <v>0.99878512453020174</v>
      </c>
    </row>
    <row r="67" spans="1:8" ht="27" customHeight="1" x14ac:dyDescent="0.4">
      <c r="A67" s="443" t="s">
        <v>102</v>
      </c>
      <c r="B67" s="444">
        <v>1</v>
      </c>
      <c r="C67" s="633"/>
      <c r="D67" s="636"/>
      <c r="E67" s="507">
        <v>4</v>
      </c>
      <c r="F67" s="508"/>
      <c r="G67" s="596" t="str">
        <f>IF(ISBLANK(F67),"-",(F67/$D$50*$D$47*$B$68)*($B$57/$D$64))</f>
        <v>-</v>
      </c>
      <c r="H67" s="511" t="str">
        <f t="shared" si="0"/>
        <v>-</v>
      </c>
    </row>
    <row r="68" spans="1:8" ht="26.25" customHeight="1" x14ac:dyDescent="0.4">
      <c r="A68" s="443" t="s">
        <v>103</v>
      </c>
      <c r="B68" s="512">
        <f>(B67/B66)*(B65/B64)*(B63/B62)*(B61/B60)*B59</f>
        <v>200</v>
      </c>
      <c r="C68" s="631" t="s">
        <v>104</v>
      </c>
      <c r="D68" s="634">
        <v>374.49</v>
      </c>
      <c r="E68" s="501">
        <v>1</v>
      </c>
      <c r="F68" s="502">
        <v>110061343</v>
      </c>
      <c r="G68" s="594">
        <f>IF(ISBLANK(F68),"-",(F68/$D$50*$D$47*$B$68)*($B$57/$D$68))</f>
        <v>58.916386817157736</v>
      </c>
      <c r="H68" s="505">
        <f t="shared" si="0"/>
        <v>0.98193978028596229</v>
      </c>
    </row>
    <row r="69" spans="1:8" ht="27" customHeight="1" x14ac:dyDescent="0.4">
      <c r="A69" s="491" t="s">
        <v>105</v>
      </c>
      <c r="B69" s="513">
        <f>(D47*B68)/B56*B57</f>
        <v>347.81800000000004</v>
      </c>
      <c r="C69" s="632"/>
      <c r="D69" s="635"/>
      <c r="E69" s="504">
        <v>2</v>
      </c>
      <c r="F69" s="456">
        <v>109423234</v>
      </c>
      <c r="G69" s="595">
        <f>IF(ISBLANK(F69),"-",(F69/$D$50*$D$47*$B$68)*($B$57/$D$68))</f>
        <v>58.5748038812171</v>
      </c>
      <c r="H69" s="505">
        <f t="shared" si="0"/>
        <v>0.97624673135361839</v>
      </c>
    </row>
    <row r="70" spans="1:8" ht="26.25" customHeight="1" x14ac:dyDescent="0.4">
      <c r="A70" s="644" t="s">
        <v>78</v>
      </c>
      <c r="B70" s="645"/>
      <c r="C70" s="632"/>
      <c r="D70" s="635"/>
      <c r="E70" s="504">
        <v>3</v>
      </c>
      <c r="F70" s="456">
        <v>109704305</v>
      </c>
      <c r="G70" s="595">
        <f>IF(ISBLANK(F70),"-",(F70/$D$50*$D$47*$B$68)*($B$57/$D$68))</f>
        <v>58.725262591857103</v>
      </c>
      <c r="H70" s="505">
        <f t="shared" si="0"/>
        <v>0.97875437653095176</v>
      </c>
    </row>
    <row r="71" spans="1:8" ht="27" customHeight="1" x14ac:dyDescent="0.4">
      <c r="A71" s="646"/>
      <c r="B71" s="647"/>
      <c r="C71" s="643"/>
      <c r="D71" s="636"/>
      <c r="E71" s="507">
        <v>4</v>
      </c>
      <c r="F71" s="508"/>
      <c r="G71" s="596" t="str">
        <f>IF(ISBLANK(F71),"-",(F71/$D$50*$D$47*$B$68)*($B$57/$D$68))</f>
        <v>-</v>
      </c>
      <c r="H71" s="514" t="str">
        <f t="shared" si="0"/>
        <v>-</v>
      </c>
    </row>
    <row r="72" spans="1:8" ht="26.25" customHeight="1" x14ac:dyDescent="0.4">
      <c r="A72" s="515"/>
      <c r="B72" s="515"/>
      <c r="C72" s="515"/>
      <c r="D72" s="515"/>
      <c r="E72" s="515"/>
      <c r="F72" s="516"/>
      <c r="G72" s="517" t="s">
        <v>71</v>
      </c>
      <c r="H72" s="518">
        <f>AVERAGE(H60:H71)</f>
        <v>0.98547141810245953</v>
      </c>
    </row>
    <row r="73" spans="1:8" ht="26.25" customHeight="1" x14ac:dyDescent="0.4">
      <c r="C73" s="515"/>
      <c r="D73" s="515"/>
      <c r="E73" s="515"/>
      <c r="F73" s="516"/>
      <c r="G73" s="519" t="s">
        <v>84</v>
      </c>
      <c r="H73" s="597">
        <f>STDEV(H60:H71)/H72</f>
        <v>1.1343906998569386E-2</v>
      </c>
    </row>
    <row r="74" spans="1:8" ht="27" customHeight="1" x14ac:dyDescent="0.4">
      <c r="A74" s="515"/>
      <c r="B74" s="515"/>
      <c r="C74" s="516"/>
      <c r="D74" s="516"/>
      <c r="E74" s="520"/>
      <c r="F74" s="516"/>
      <c r="G74" s="521" t="s">
        <v>20</v>
      </c>
      <c r="H74" s="522">
        <f>COUNT(H60:H71)</f>
        <v>9</v>
      </c>
    </row>
    <row r="76" spans="1:8" ht="26.25" customHeight="1" x14ac:dyDescent="0.4">
      <c r="A76" s="427" t="s">
        <v>106</v>
      </c>
      <c r="B76" s="523" t="s">
        <v>107</v>
      </c>
      <c r="C76" s="639" t="str">
        <f>B20</f>
        <v xml:space="preserve">Lamivudine 30 mg, Zidovudine 60 mg, Nevirapine 50mg  </v>
      </c>
      <c r="D76" s="639"/>
      <c r="E76" s="524" t="s">
        <v>108</v>
      </c>
      <c r="F76" s="524"/>
      <c r="G76" s="525">
        <f>H72</f>
        <v>0.98547141810245953</v>
      </c>
      <c r="H76" s="526"/>
    </row>
    <row r="77" spans="1:8" ht="18.75" x14ac:dyDescent="0.3">
      <c r="A77" s="426" t="s">
        <v>109</v>
      </c>
      <c r="B77" s="426" t="s">
        <v>110</v>
      </c>
    </row>
    <row r="78" spans="1:8" ht="18.75" x14ac:dyDescent="0.3">
      <c r="A78" s="426"/>
      <c r="B78" s="426"/>
    </row>
    <row r="79" spans="1:8" ht="26.25" customHeight="1" x14ac:dyDescent="0.4">
      <c r="A79" s="427" t="s">
        <v>4</v>
      </c>
      <c r="B79" s="625" t="str">
        <f>B26</f>
        <v>Zidovudine</v>
      </c>
      <c r="C79" s="625"/>
    </row>
    <row r="80" spans="1:8" ht="26.25" customHeight="1" x14ac:dyDescent="0.4">
      <c r="A80" s="428" t="s">
        <v>48</v>
      </c>
      <c r="B80" s="625" t="str">
        <f>B27</f>
        <v>NQCL-WRS-Z1-1</v>
      </c>
      <c r="C80" s="625"/>
    </row>
    <row r="81" spans="1:12" ht="27" customHeight="1" x14ac:dyDescent="0.4">
      <c r="A81" s="428" t="s">
        <v>6</v>
      </c>
      <c r="B81" s="527">
        <f>B28</f>
        <v>99</v>
      </c>
    </row>
    <row r="82" spans="1:12" s="3" customFormat="1" ht="27" customHeight="1" x14ac:dyDescent="0.4">
      <c r="A82" s="428" t="s">
        <v>49</v>
      </c>
      <c r="B82" s="430">
        <v>0</v>
      </c>
      <c r="C82" s="616" t="s">
        <v>50</v>
      </c>
      <c r="D82" s="617"/>
      <c r="E82" s="617"/>
      <c r="F82" s="617"/>
      <c r="G82" s="618"/>
      <c r="I82" s="431"/>
      <c r="J82" s="431"/>
      <c r="K82" s="431"/>
      <c r="L82" s="431"/>
    </row>
    <row r="83" spans="1:12" s="3" customFormat="1" ht="19.5" customHeight="1" x14ac:dyDescent="0.3">
      <c r="A83" s="428" t="s">
        <v>51</v>
      </c>
      <c r="B83" s="432">
        <f>B81-B82</f>
        <v>99</v>
      </c>
      <c r="C83" s="433"/>
      <c r="D83" s="433"/>
      <c r="E83" s="433"/>
      <c r="F83" s="433"/>
      <c r="G83" s="434"/>
      <c r="I83" s="431"/>
      <c r="J83" s="431"/>
      <c r="K83" s="431"/>
      <c r="L83" s="431"/>
    </row>
    <row r="84" spans="1:12" s="3" customFormat="1" ht="27" customHeight="1" x14ac:dyDescent="0.4">
      <c r="A84" s="428" t="s">
        <v>52</v>
      </c>
      <c r="B84" s="435">
        <v>1</v>
      </c>
      <c r="C84" s="619" t="s">
        <v>111</v>
      </c>
      <c r="D84" s="620"/>
      <c r="E84" s="620"/>
      <c r="F84" s="620"/>
      <c r="G84" s="620"/>
      <c r="H84" s="621"/>
      <c r="I84" s="431"/>
      <c r="J84" s="431"/>
      <c r="K84" s="431"/>
      <c r="L84" s="431"/>
    </row>
    <row r="85" spans="1:12" s="3" customFormat="1" ht="27" customHeight="1" x14ac:dyDescent="0.4">
      <c r="A85" s="428" t="s">
        <v>54</v>
      </c>
      <c r="B85" s="435">
        <v>1</v>
      </c>
      <c r="C85" s="619" t="s">
        <v>112</v>
      </c>
      <c r="D85" s="620"/>
      <c r="E85" s="620"/>
      <c r="F85" s="620"/>
      <c r="G85" s="620"/>
      <c r="H85" s="621"/>
      <c r="I85" s="431"/>
      <c r="J85" s="431"/>
      <c r="K85" s="431"/>
      <c r="L85" s="431"/>
    </row>
    <row r="86" spans="1:12" s="3" customFormat="1" ht="18.75" x14ac:dyDescent="0.3">
      <c r="A86" s="428"/>
      <c r="B86" s="438"/>
      <c r="C86" s="439"/>
      <c r="D86" s="439"/>
      <c r="E86" s="439"/>
      <c r="F86" s="439"/>
      <c r="G86" s="439"/>
      <c r="H86" s="439"/>
      <c r="I86" s="431"/>
      <c r="J86" s="431"/>
      <c r="K86" s="431"/>
      <c r="L86" s="431"/>
    </row>
    <row r="87" spans="1:12" s="3" customFormat="1" ht="18.75" x14ac:dyDescent="0.3">
      <c r="A87" s="428" t="s">
        <v>56</v>
      </c>
      <c r="B87" s="440">
        <f>B84/B85</f>
        <v>1</v>
      </c>
      <c r="C87" s="418" t="s">
        <v>57</v>
      </c>
      <c r="D87" s="418"/>
      <c r="E87" s="418"/>
      <c r="F87" s="418"/>
      <c r="G87" s="418"/>
      <c r="I87" s="431"/>
      <c r="J87" s="431"/>
      <c r="K87" s="431"/>
      <c r="L87" s="431"/>
    </row>
    <row r="88" spans="1:12" ht="19.5" customHeight="1" x14ac:dyDescent="0.3">
      <c r="A88" s="426"/>
      <c r="B88" s="426"/>
    </row>
    <row r="89" spans="1:12" ht="27" customHeight="1" x14ac:dyDescent="0.4">
      <c r="A89" s="441" t="s">
        <v>58</v>
      </c>
      <c r="B89" s="442">
        <v>50</v>
      </c>
      <c r="D89" s="528" t="s">
        <v>59</v>
      </c>
      <c r="E89" s="529"/>
      <c r="F89" s="622" t="s">
        <v>60</v>
      </c>
      <c r="G89" s="624"/>
    </row>
    <row r="90" spans="1:12" ht="27" customHeight="1" x14ac:dyDescent="0.4">
      <c r="A90" s="443" t="s">
        <v>61</v>
      </c>
      <c r="B90" s="444">
        <v>5</v>
      </c>
      <c r="C90" s="530" t="s">
        <v>62</v>
      </c>
      <c r="D90" s="446" t="s">
        <v>63</v>
      </c>
      <c r="E90" s="447" t="s">
        <v>64</v>
      </c>
      <c r="F90" s="446" t="s">
        <v>63</v>
      </c>
      <c r="G90" s="531" t="s">
        <v>64</v>
      </c>
      <c r="I90" s="449" t="s">
        <v>65</v>
      </c>
    </row>
    <row r="91" spans="1:12" ht="26.25" customHeight="1" x14ac:dyDescent="0.4">
      <c r="A91" s="443" t="s">
        <v>66</v>
      </c>
      <c r="B91" s="444">
        <v>50</v>
      </c>
      <c r="C91" s="532">
        <v>1</v>
      </c>
      <c r="D91" s="451">
        <v>20682874</v>
      </c>
      <c r="E91" s="452">
        <f>IF(ISBLANK(D91),"-",$D$101/$D$98*D91)</f>
        <v>23135982.191796146</v>
      </c>
      <c r="F91" s="451">
        <v>23318235</v>
      </c>
      <c r="G91" s="453">
        <f>IF(ISBLANK(F91),"-",$D$101/$F$98*F91)</f>
        <v>23422606.13292833</v>
      </c>
      <c r="I91" s="454"/>
    </row>
    <row r="92" spans="1:12" ht="26.25" customHeight="1" x14ac:dyDescent="0.4">
      <c r="A92" s="443" t="s">
        <v>67</v>
      </c>
      <c r="B92" s="444">
        <v>1</v>
      </c>
      <c r="C92" s="516">
        <v>2</v>
      </c>
      <c r="D92" s="456">
        <v>20707489</v>
      </c>
      <c r="E92" s="457">
        <f>IF(ISBLANK(D92),"-",$D$101/$D$98*D92)</f>
        <v>23163516.672819</v>
      </c>
      <c r="F92" s="456">
        <v>23137328</v>
      </c>
      <c r="G92" s="458">
        <f>IF(ISBLANK(F92),"-",$D$101/$F$98*F92)</f>
        <v>23240889.403180573</v>
      </c>
      <c r="I92" s="626">
        <f>ABS((F96/D96*D95)-F95)/D95</f>
        <v>8.0569798356300015E-3</v>
      </c>
    </row>
    <row r="93" spans="1:12" ht="26.25" customHeight="1" x14ac:dyDescent="0.4">
      <c r="A93" s="443" t="s">
        <v>68</v>
      </c>
      <c r="B93" s="444">
        <v>1</v>
      </c>
      <c r="C93" s="516">
        <v>3</v>
      </c>
      <c r="D93" s="456">
        <v>20907340</v>
      </c>
      <c r="E93" s="457">
        <f>IF(ISBLANK(D93),"-",$D$101/$D$98*D93)</f>
        <v>23387071.154513016</v>
      </c>
      <c r="F93" s="456">
        <v>23422415</v>
      </c>
      <c r="G93" s="458">
        <f>IF(ISBLANK(F93),"-",$D$101/$F$98*F93)</f>
        <v>23527252.436858643</v>
      </c>
      <c r="I93" s="626"/>
    </row>
    <row r="94" spans="1:12" ht="27" customHeight="1" x14ac:dyDescent="0.4">
      <c r="A94" s="443" t="s">
        <v>69</v>
      </c>
      <c r="B94" s="444">
        <v>1</v>
      </c>
      <c r="C94" s="533">
        <v>4</v>
      </c>
      <c r="D94" s="461"/>
      <c r="E94" s="462" t="str">
        <f>IF(ISBLANK(D94),"-",$D$101/$D$98*D94)</f>
        <v>-</v>
      </c>
      <c r="F94" s="534"/>
      <c r="G94" s="463" t="str">
        <f>IF(ISBLANK(F94),"-",$D$101/$F$98*F94)</f>
        <v>-</v>
      </c>
      <c r="I94" s="464"/>
    </row>
    <row r="95" spans="1:12" ht="27" customHeight="1" x14ac:dyDescent="0.4">
      <c r="A95" s="443" t="s">
        <v>70</v>
      </c>
      <c r="B95" s="444">
        <v>1</v>
      </c>
      <c r="C95" s="535" t="s">
        <v>71</v>
      </c>
      <c r="D95" s="536">
        <f>AVERAGE(D91:D94)</f>
        <v>20765901</v>
      </c>
      <c r="E95" s="467">
        <f>AVERAGE(E91:E94)</f>
        <v>23228856.673042718</v>
      </c>
      <c r="F95" s="537">
        <f>AVERAGE(F91:F94)</f>
        <v>23292659.333333332</v>
      </c>
      <c r="G95" s="538">
        <f>AVERAGE(G91:G94)</f>
        <v>23396915.990989182</v>
      </c>
    </row>
    <row r="96" spans="1:12" ht="26.25" customHeight="1" x14ac:dyDescent="0.4">
      <c r="A96" s="443" t="s">
        <v>72</v>
      </c>
      <c r="B96" s="429">
        <v>1</v>
      </c>
      <c r="C96" s="539" t="s">
        <v>113</v>
      </c>
      <c r="D96" s="540">
        <v>30.1</v>
      </c>
      <c r="E96" s="459"/>
      <c r="F96" s="471">
        <v>33.520000000000003</v>
      </c>
    </row>
    <row r="97" spans="1:10" ht="26.25" customHeight="1" x14ac:dyDescent="0.4">
      <c r="A97" s="443" t="s">
        <v>74</v>
      </c>
      <c r="B97" s="429">
        <v>1</v>
      </c>
      <c r="C97" s="541" t="s">
        <v>114</v>
      </c>
      <c r="D97" s="542">
        <f>D96*$B$87</f>
        <v>30.1</v>
      </c>
      <c r="E97" s="474"/>
      <c r="F97" s="473">
        <f>F96*$B$87</f>
        <v>33.520000000000003</v>
      </c>
    </row>
    <row r="98" spans="1:10" ht="19.5" customHeight="1" x14ac:dyDescent="0.3">
      <c r="A98" s="443" t="s">
        <v>76</v>
      </c>
      <c r="B98" s="543">
        <f>(B97/B96)*(B95/B94)*(B93/B92)*(B91/B90)*B89</f>
        <v>500</v>
      </c>
      <c r="C98" s="541" t="s">
        <v>115</v>
      </c>
      <c r="D98" s="544">
        <f>D97*$B$83/100</f>
        <v>29.798999999999999</v>
      </c>
      <c r="E98" s="477"/>
      <c r="F98" s="476">
        <f>F97*$B$83/100</f>
        <v>33.184800000000003</v>
      </c>
    </row>
    <row r="99" spans="1:10" ht="19.5" customHeight="1" x14ac:dyDescent="0.3">
      <c r="A99" s="627" t="s">
        <v>78</v>
      </c>
      <c r="B99" s="641"/>
      <c r="C99" s="541" t="s">
        <v>116</v>
      </c>
      <c r="D99" s="545">
        <f>D98/$B$98</f>
        <v>5.9597999999999998E-2</v>
      </c>
      <c r="E99" s="477"/>
      <c r="F99" s="480">
        <f>F98/$B$98</f>
        <v>6.6369600000000001E-2</v>
      </c>
      <c r="G99" s="546"/>
      <c r="H99" s="469"/>
    </row>
    <row r="100" spans="1:10" ht="19.5" customHeight="1" x14ac:dyDescent="0.3">
      <c r="A100" s="629"/>
      <c r="B100" s="642"/>
      <c r="C100" s="541" t="s">
        <v>80</v>
      </c>
      <c r="D100" s="547">
        <f>$B$56/$B$116</f>
        <v>6.6666666666666666E-2</v>
      </c>
      <c r="F100" s="485"/>
      <c r="G100" s="548"/>
      <c r="H100" s="469"/>
    </row>
    <row r="101" spans="1:10" ht="18.75" x14ac:dyDescent="0.3">
      <c r="C101" s="541" t="s">
        <v>81</v>
      </c>
      <c r="D101" s="542">
        <f>D100*$B$98</f>
        <v>33.333333333333336</v>
      </c>
      <c r="F101" s="485"/>
      <c r="G101" s="546"/>
      <c r="H101" s="469"/>
    </row>
    <row r="102" spans="1:10" ht="19.5" customHeight="1" x14ac:dyDescent="0.3">
      <c r="C102" s="549" t="s">
        <v>82</v>
      </c>
      <c r="D102" s="550">
        <f>D101/B34</f>
        <v>33.333333333333336</v>
      </c>
      <c r="F102" s="489"/>
      <c r="G102" s="546"/>
      <c r="H102" s="469"/>
      <c r="J102" s="551"/>
    </row>
    <row r="103" spans="1:10" ht="18.75" x14ac:dyDescent="0.3">
      <c r="C103" s="552" t="s">
        <v>117</v>
      </c>
      <c r="D103" s="553">
        <f>AVERAGE(E91:E94,G91:G94)</f>
        <v>23312886.33201595</v>
      </c>
      <c r="F103" s="489"/>
      <c r="G103" s="554"/>
      <c r="H103" s="469"/>
      <c r="J103" s="555"/>
    </row>
    <row r="104" spans="1:10" ht="18.75" x14ac:dyDescent="0.3">
      <c r="C104" s="519" t="s">
        <v>84</v>
      </c>
      <c r="D104" s="556">
        <f>STDEV(E91:E94,G91:G94)/D103</f>
        <v>6.7081813486705912E-3</v>
      </c>
      <c r="F104" s="489"/>
      <c r="G104" s="546"/>
      <c r="H104" s="469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89"/>
      <c r="G105" s="546"/>
      <c r="H105" s="469"/>
      <c r="J105" s="555"/>
    </row>
    <row r="106" spans="1:10" ht="19.5" customHeight="1" x14ac:dyDescent="0.3">
      <c r="A106" s="493"/>
      <c r="B106" s="493"/>
      <c r="C106" s="493"/>
      <c r="D106" s="493"/>
      <c r="E106" s="493"/>
    </row>
    <row r="107" spans="1:10" ht="26.25" customHeight="1" x14ac:dyDescent="0.4">
      <c r="A107" s="441" t="s">
        <v>118</v>
      </c>
      <c r="B107" s="442">
        <v>900</v>
      </c>
      <c r="C107" s="558" t="s">
        <v>119</v>
      </c>
      <c r="D107" s="559" t="s">
        <v>63</v>
      </c>
      <c r="E107" s="560" t="s">
        <v>120</v>
      </c>
      <c r="F107" s="561" t="s">
        <v>121</v>
      </c>
    </row>
    <row r="108" spans="1:10" ht="26.25" customHeight="1" x14ac:dyDescent="0.4">
      <c r="A108" s="443" t="s">
        <v>122</v>
      </c>
      <c r="B108" s="444">
        <v>1</v>
      </c>
      <c r="C108" s="562">
        <v>1</v>
      </c>
      <c r="D108" s="563">
        <v>23209237</v>
      </c>
      <c r="E108" s="598">
        <f t="shared" ref="E108:E113" si="1">IF(ISBLANK(D108),"-",D108/$D$103*$D$100*$B$116)</f>
        <v>59.733239383901747</v>
      </c>
      <c r="F108" s="564">
        <f t="shared" ref="F108:F113" si="2">IF(ISBLANK(D108), "-", E108/$B$56)</f>
        <v>0.99555398973169573</v>
      </c>
    </row>
    <row r="109" spans="1:10" ht="26.25" customHeight="1" x14ac:dyDescent="0.4">
      <c r="A109" s="443" t="s">
        <v>95</v>
      </c>
      <c r="B109" s="444">
        <v>1</v>
      </c>
      <c r="C109" s="562">
        <v>2</v>
      </c>
      <c r="D109" s="563">
        <v>23312254</v>
      </c>
      <c r="E109" s="599">
        <f t="shared" si="1"/>
        <v>59.998372577276932</v>
      </c>
      <c r="F109" s="565">
        <f t="shared" si="2"/>
        <v>0.99997287628794884</v>
      </c>
    </row>
    <row r="110" spans="1:10" ht="26.25" customHeight="1" x14ac:dyDescent="0.4">
      <c r="A110" s="443" t="s">
        <v>96</v>
      </c>
      <c r="B110" s="444">
        <v>1</v>
      </c>
      <c r="C110" s="562">
        <v>3</v>
      </c>
      <c r="D110" s="563">
        <v>21957247</v>
      </c>
      <c r="E110" s="599">
        <f t="shared" si="1"/>
        <v>56.511012889499931</v>
      </c>
      <c r="F110" s="565">
        <f t="shared" si="2"/>
        <v>0.94185021482499887</v>
      </c>
    </row>
    <row r="111" spans="1:10" ht="26.25" customHeight="1" x14ac:dyDescent="0.4">
      <c r="A111" s="443" t="s">
        <v>97</v>
      </c>
      <c r="B111" s="444">
        <v>1</v>
      </c>
      <c r="C111" s="562">
        <v>4</v>
      </c>
      <c r="D111" s="563">
        <v>21950113</v>
      </c>
      <c r="E111" s="599">
        <f t="shared" si="1"/>
        <v>56.492652228623186</v>
      </c>
      <c r="F111" s="565">
        <f t="shared" si="2"/>
        <v>0.94154420381038639</v>
      </c>
    </row>
    <row r="112" spans="1:10" ht="26.25" customHeight="1" x14ac:dyDescent="0.4">
      <c r="A112" s="443" t="s">
        <v>98</v>
      </c>
      <c r="B112" s="444">
        <v>1</v>
      </c>
      <c r="C112" s="562">
        <v>5</v>
      </c>
      <c r="D112" s="563">
        <v>20628063</v>
      </c>
      <c r="E112" s="599">
        <f t="shared" si="1"/>
        <v>53.090113440834202</v>
      </c>
      <c r="F112" s="565">
        <f t="shared" si="2"/>
        <v>0.88483522401390335</v>
      </c>
    </row>
    <row r="113" spans="1:10" ht="26.25" customHeight="1" x14ac:dyDescent="0.4">
      <c r="A113" s="443" t="s">
        <v>100</v>
      </c>
      <c r="B113" s="444">
        <v>1</v>
      </c>
      <c r="C113" s="566">
        <v>6</v>
      </c>
      <c r="D113" s="567">
        <v>20778340</v>
      </c>
      <c r="E113" s="600">
        <f t="shared" si="1"/>
        <v>53.476878934887054</v>
      </c>
      <c r="F113" s="568">
        <f t="shared" si="2"/>
        <v>0.89128131558145085</v>
      </c>
    </row>
    <row r="114" spans="1:10" ht="26.25" customHeight="1" x14ac:dyDescent="0.4">
      <c r="A114" s="443" t="s">
        <v>101</v>
      </c>
      <c r="B114" s="444">
        <v>1</v>
      </c>
      <c r="C114" s="562"/>
      <c r="D114" s="516"/>
      <c r="E114" s="417"/>
      <c r="F114" s="569"/>
    </row>
    <row r="115" spans="1:10" ht="26.25" customHeight="1" x14ac:dyDescent="0.4">
      <c r="A115" s="443" t="s">
        <v>102</v>
      </c>
      <c r="B115" s="444">
        <v>1</v>
      </c>
      <c r="C115" s="562"/>
      <c r="D115" s="570"/>
      <c r="E115" s="571" t="s">
        <v>71</v>
      </c>
      <c r="F115" s="572">
        <f>AVERAGE(F108:F113)</f>
        <v>0.94250630404173075</v>
      </c>
    </row>
    <row r="116" spans="1:10" ht="27" customHeight="1" x14ac:dyDescent="0.4">
      <c r="A116" s="443" t="s">
        <v>103</v>
      </c>
      <c r="B116" s="475">
        <f>(B115/B114)*(B113/B112)*(B111/B110)*(B109/B108)*B107</f>
        <v>900</v>
      </c>
      <c r="C116" s="573"/>
      <c r="D116" s="574"/>
      <c r="E116" s="535" t="s">
        <v>84</v>
      </c>
      <c r="F116" s="575">
        <f>STDEV(F108:F113)/F115</f>
        <v>5.2124787593168236E-2</v>
      </c>
      <c r="I116" s="417"/>
    </row>
    <row r="117" spans="1:10" ht="27" customHeight="1" x14ac:dyDescent="0.4">
      <c r="A117" s="627" t="s">
        <v>78</v>
      </c>
      <c r="B117" s="628"/>
      <c r="C117" s="576"/>
      <c r="D117" s="577"/>
      <c r="E117" s="578" t="s">
        <v>20</v>
      </c>
      <c r="F117" s="579">
        <f>COUNT(F108:F113)</f>
        <v>6</v>
      </c>
      <c r="I117" s="417"/>
      <c r="J117" s="555"/>
    </row>
    <row r="118" spans="1:10" ht="19.5" customHeight="1" x14ac:dyDescent="0.3">
      <c r="A118" s="629"/>
      <c r="B118" s="630"/>
      <c r="C118" s="417"/>
      <c r="D118" s="417"/>
      <c r="E118" s="417"/>
      <c r="F118" s="516"/>
      <c r="G118" s="417"/>
      <c r="H118" s="417"/>
      <c r="I118" s="417"/>
    </row>
    <row r="119" spans="1:10" ht="18.75" x14ac:dyDescent="0.3">
      <c r="A119" s="588"/>
      <c r="B119" s="439"/>
      <c r="C119" s="417"/>
      <c r="D119" s="417"/>
      <c r="E119" s="417"/>
      <c r="F119" s="516"/>
      <c r="G119" s="417"/>
      <c r="H119" s="417"/>
      <c r="I119" s="417"/>
    </row>
    <row r="120" spans="1:10" ht="26.25" customHeight="1" x14ac:dyDescent="0.4">
      <c r="A120" s="427" t="s">
        <v>106</v>
      </c>
      <c r="B120" s="523" t="s">
        <v>123</v>
      </c>
      <c r="C120" s="639" t="str">
        <f>B20</f>
        <v xml:space="preserve">Lamivudine 30 mg, Zidovudine 60 mg, Nevirapine 50mg  </v>
      </c>
      <c r="D120" s="639"/>
      <c r="E120" s="524" t="s">
        <v>124</v>
      </c>
      <c r="F120" s="524"/>
      <c r="G120" s="525">
        <f>F115</f>
        <v>0.94250630404173075</v>
      </c>
      <c r="H120" s="417"/>
      <c r="I120" s="417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640" t="s">
        <v>26</v>
      </c>
      <c r="C122" s="640"/>
      <c r="E122" s="530" t="s">
        <v>27</v>
      </c>
      <c r="F122" s="582"/>
      <c r="G122" s="640" t="s">
        <v>28</v>
      </c>
      <c r="H122" s="640"/>
    </row>
    <row r="123" spans="1:10" ht="69.95" customHeight="1" x14ac:dyDescent="0.3">
      <c r="A123" s="583" t="s">
        <v>29</v>
      </c>
      <c r="B123" s="584"/>
      <c r="C123" s="584"/>
      <c r="E123" s="584"/>
      <c r="F123" s="417"/>
      <c r="G123" s="585"/>
      <c r="H123" s="585"/>
    </row>
    <row r="124" spans="1:10" ht="69.95" customHeight="1" x14ac:dyDescent="0.3">
      <c r="A124" s="583" t="s">
        <v>30</v>
      </c>
      <c r="B124" s="586"/>
      <c r="C124" s="586"/>
      <c r="E124" s="586"/>
      <c r="F124" s="417"/>
      <c r="G124" s="587"/>
      <c r="H124" s="587"/>
    </row>
    <row r="125" spans="1:10" ht="18.75" x14ac:dyDescent="0.3">
      <c r="A125" s="515"/>
      <c r="B125" s="515"/>
      <c r="C125" s="516"/>
      <c r="D125" s="516"/>
      <c r="E125" s="516"/>
      <c r="F125" s="520"/>
      <c r="G125" s="516"/>
      <c r="H125" s="516"/>
      <c r="I125" s="417"/>
    </row>
    <row r="126" spans="1:10" ht="18.75" x14ac:dyDescent="0.3">
      <c r="A126" s="515"/>
      <c r="B126" s="515"/>
      <c r="C126" s="516"/>
      <c r="D126" s="516"/>
      <c r="E126" s="516"/>
      <c r="F126" s="520"/>
      <c r="G126" s="516"/>
      <c r="H126" s="516"/>
      <c r="I126" s="417"/>
    </row>
    <row r="127" spans="1:10" ht="18.75" x14ac:dyDescent="0.3">
      <c r="A127" s="515"/>
      <c r="B127" s="515"/>
      <c r="C127" s="516"/>
      <c r="D127" s="516"/>
      <c r="E127" s="516"/>
      <c r="F127" s="520"/>
      <c r="G127" s="516"/>
      <c r="H127" s="516"/>
      <c r="I127" s="417"/>
    </row>
    <row r="128" spans="1:10" ht="18.75" x14ac:dyDescent="0.3">
      <c r="A128" s="515"/>
      <c r="B128" s="515"/>
      <c r="C128" s="516"/>
      <c r="D128" s="516"/>
      <c r="E128" s="516"/>
      <c r="F128" s="520"/>
      <c r="G128" s="516"/>
      <c r="H128" s="516"/>
      <c r="I128" s="417"/>
    </row>
    <row r="129" spans="1:9" ht="18.75" x14ac:dyDescent="0.3">
      <c r="A129" s="515"/>
      <c r="B129" s="515"/>
      <c r="C129" s="516"/>
      <c r="D129" s="516"/>
      <c r="E129" s="516"/>
      <c r="F129" s="520"/>
      <c r="G129" s="516"/>
      <c r="H129" s="516"/>
      <c r="I129" s="417"/>
    </row>
    <row r="130" spans="1:9" ht="18.75" x14ac:dyDescent="0.3">
      <c r="A130" s="515"/>
      <c r="B130" s="515"/>
      <c r="C130" s="516"/>
      <c r="D130" s="516"/>
      <c r="E130" s="516"/>
      <c r="F130" s="520"/>
      <c r="G130" s="516"/>
      <c r="H130" s="516"/>
      <c r="I130" s="417"/>
    </row>
    <row r="131" spans="1:9" ht="18.75" x14ac:dyDescent="0.3">
      <c r="A131" s="515"/>
      <c r="B131" s="515"/>
      <c r="C131" s="516"/>
      <c r="D131" s="516"/>
      <c r="E131" s="516"/>
      <c r="F131" s="520"/>
      <c r="G131" s="516"/>
      <c r="H131" s="516"/>
      <c r="I131" s="417"/>
    </row>
    <row r="132" spans="1:9" ht="18.75" x14ac:dyDescent="0.3">
      <c r="A132" s="515"/>
      <c r="B132" s="515"/>
      <c r="C132" s="516"/>
      <c r="D132" s="516"/>
      <c r="E132" s="516"/>
      <c r="F132" s="520"/>
      <c r="G132" s="516"/>
      <c r="H132" s="516"/>
      <c r="I132" s="417"/>
    </row>
    <row r="133" spans="1:9" ht="18.75" x14ac:dyDescent="0.3">
      <c r="A133" s="515"/>
      <c r="B133" s="515"/>
      <c r="C133" s="516"/>
      <c r="D133" s="516"/>
      <c r="E133" s="516"/>
      <c r="F133" s="520"/>
      <c r="G133" s="516"/>
      <c r="H133" s="516"/>
      <c r="I133" s="41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60" workbookViewId="0">
      <selection activeCell="D91" sqref="D91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131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132</v>
      </c>
      <c r="E18" s="655"/>
    </row>
    <row r="19" spans="1:5" ht="16.5" customHeight="1" x14ac:dyDescent="0.3">
      <c r="A19" s="656" t="s">
        <v>6</v>
      </c>
      <c r="B19" s="657">
        <v>99.15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21.47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0.2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56229963</v>
      </c>
      <c r="C24" s="662">
        <v>5196.3999999999996</v>
      </c>
      <c r="D24" s="663">
        <v>1.1000000000000001</v>
      </c>
      <c r="E24" s="664">
        <v>5.3</v>
      </c>
    </row>
    <row r="25" spans="1:5" ht="16.5" customHeight="1" x14ac:dyDescent="0.3">
      <c r="A25" s="661">
        <v>2</v>
      </c>
      <c r="B25" s="662">
        <v>56107324</v>
      </c>
      <c r="C25" s="662">
        <v>5101.8999999999996</v>
      </c>
      <c r="D25" s="663">
        <v>1.1000000000000001</v>
      </c>
      <c r="E25" s="663">
        <v>5.3</v>
      </c>
    </row>
    <row r="26" spans="1:5" ht="16.5" customHeight="1" x14ac:dyDescent="0.3">
      <c r="A26" s="661">
        <v>3</v>
      </c>
      <c r="B26" s="662">
        <v>55915029</v>
      </c>
      <c r="C26" s="662">
        <v>5053.2</v>
      </c>
      <c r="D26" s="663">
        <v>1.1000000000000001</v>
      </c>
      <c r="E26" s="663">
        <v>5.3</v>
      </c>
    </row>
    <row r="27" spans="1:5" ht="16.5" customHeight="1" x14ac:dyDescent="0.3">
      <c r="A27" s="661">
        <v>4</v>
      </c>
      <c r="B27" s="662">
        <v>55713805</v>
      </c>
      <c r="C27" s="662">
        <v>5048.5</v>
      </c>
      <c r="D27" s="663">
        <v>1.1000000000000001</v>
      </c>
      <c r="E27" s="663">
        <v>5.3</v>
      </c>
    </row>
    <row r="28" spans="1:5" ht="16.5" customHeight="1" x14ac:dyDescent="0.3">
      <c r="A28" s="661">
        <v>5</v>
      </c>
      <c r="B28" s="662">
        <v>55892132</v>
      </c>
      <c r="C28" s="662">
        <v>5029.2</v>
      </c>
      <c r="D28" s="663">
        <v>1.1000000000000001</v>
      </c>
      <c r="E28" s="663">
        <v>5.3</v>
      </c>
    </row>
    <row r="29" spans="1:5" ht="16.5" customHeight="1" x14ac:dyDescent="0.3">
      <c r="A29" s="661">
        <v>6</v>
      </c>
      <c r="B29" s="665">
        <v>55789387</v>
      </c>
      <c r="C29" s="665">
        <v>5007.1000000000004</v>
      </c>
      <c r="D29" s="666">
        <v>1.1000000000000001</v>
      </c>
      <c r="E29" s="666">
        <v>5.3</v>
      </c>
    </row>
    <row r="30" spans="1:5" ht="16.5" customHeight="1" x14ac:dyDescent="0.3">
      <c r="A30" s="667" t="s">
        <v>18</v>
      </c>
      <c r="B30" s="668">
        <f>AVERAGE(B24:B29)</f>
        <v>55941273.333333336</v>
      </c>
      <c r="C30" s="669">
        <f>AVERAGE(C24:C29)</f>
        <v>5072.7166666666672</v>
      </c>
      <c r="D30" s="670">
        <f>AVERAGE(D24:D29)</f>
        <v>1.0999999999999999</v>
      </c>
      <c r="E30" s="670">
        <f>AVERAGE(E24:E29)</f>
        <v>5.3</v>
      </c>
    </row>
    <row r="31" spans="1:5" ht="16.5" customHeight="1" x14ac:dyDescent="0.3">
      <c r="A31" s="671" t="s">
        <v>19</v>
      </c>
      <c r="B31" s="672">
        <f>(STDEV(B24:B29)/B30)</f>
        <v>3.4739019276092465E-3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22</v>
      </c>
      <c r="C34" s="681"/>
      <c r="D34" s="681"/>
      <c r="E34" s="681"/>
    </row>
    <row r="35" spans="1:5" ht="16.5" customHeight="1" x14ac:dyDescent="0.3">
      <c r="A35" s="656"/>
      <c r="B35" s="680" t="s">
        <v>23</v>
      </c>
      <c r="C35" s="681"/>
      <c r="D35" s="681"/>
      <c r="E35" s="681"/>
    </row>
    <row r="36" spans="1:5" ht="16.5" customHeight="1" x14ac:dyDescent="0.3">
      <c r="A36" s="656"/>
      <c r="B36" s="680" t="s">
        <v>24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25</v>
      </c>
    </row>
    <row r="39" spans="1:5" ht="16.5" customHeight="1" x14ac:dyDescent="0.3">
      <c r="A39" s="656" t="s">
        <v>4</v>
      </c>
      <c r="B39" s="654" t="s">
        <v>132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99.15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24.32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0.2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62355110</v>
      </c>
      <c r="C45" s="662">
        <v>6467.1</v>
      </c>
      <c r="D45" s="663">
        <v>1.1000000000000001</v>
      </c>
      <c r="E45" s="664">
        <v>5.2</v>
      </c>
    </row>
    <row r="46" spans="1:5" ht="16.5" customHeight="1" x14ac:dyDescent="0.3">
      <c r="A46" s="661">
        <v>2</v>
      </c>
      <c r="B46" s="662">
        <v>62194857</v>
      </c>
      <c r="C46" s="662">
        <v>6688</v>
      </c>
      <c r="D46" s="663">
        <v>1.1000000000000001</v>
      </c>
      <c r="E46" s="663">
        <v>5.2</v>
      </c>
    </row>
    <row r="47" spans="1:5" ht="16.5" customHeight="1" x14ac:dyDescent="0.3">
      <c r="A47" s="661">
        <v>3</v>
      </c>
      <c r="B47" s="662">
        <v>62240540</v>
      </c>
      <c r="C47" s="662">
        <v>6697.6</v>
      </c>
      <c r="D47" s="663">
        <v>1.1000000000000001</v>
      </c>
      <c r="E47" s="663">
        <v>5.2</v>
      </c>
    </row>
    <row r="48" spans="1:5" ht="16.5" customHeight="1" x14ac:dyDescent="0.3">
      <c r="A48" s="661">
        <v>4</v>
      </c>
      <c r="B48" s="662">
        <v>62080178</v>
      </c>
      <c r="C48" s="662">
        <v>6671.1</v>
      </c>
      <c r="D48" s="663">
        <v>1.1000000000000001</v>
      </c>
      <c r="E48" s="663">
        <v>5.2</v>
      </c>
    </row>
    <row r="49" spans="1:7" ht="16.5" customHeight="1" x14ac:dyDescent="0.3">
      <c r="A49" s="661">
        <v>5</v>
      </c>
      <c r="B49" s="662">
        <v>62487633</v>
      </c>
      <c r="C49" s="662">
        <v>6700.3</v>
      </c>
      <c r="D49" s="663">
        <v>1.1000000000000001</v>
      </c>
      <c r="E49" s="663">
        <v>5.2</v>
      </c>
    </row>
    <row r="50" spans="1:7" ht="16.5" customHeight="1" x14ac:dyDescent="0.3">
      <c r="A50" s="661">
        <v>6</v>
      </c>
      <c r="B50" s="665">
        <v>62461086</v>
      </c>
      <c r="C50" s="665">
        <v>6676.4</v>
      </c>
      <c r="D50" s="666">
        <v>1.1000000000000001</v>
      </c>
      <c r="E50" s="666">
        <v>5.2</v>
      </c>
    </row>
    <row r="51" spans="1:7" ht="16.5" customHeight="1" x14ac:dyDescent="0.3">
      <c r="A51" s="667" t="s">
        <v>18</v>
      </c>
      <c r="B51" s="668">
        <f>AVERAGE(B45:B50)</f>
        <v>62303234</v>
      </c>
      <c r="C51" s="669">
        <f>AVERAGE(C45:C50)</f>
        <v>6650.0833333333348</v>
      </c>
      <c r="D51" s="670">
        <f>AVERAGE(D45:D50)</f>
        <v>1.0999999999999999</v>
      </c>
      <c r="E51" s="670">
        <f>AVERAGE(E45:E50)</f>
        <v>5.2</v>
      </c>
    </row>
    <row r="52" spans="1:7" ht="16.5" customHeight="1" x14ac:dyDescent="0.3">
      <c r="A52" s="671" t="s">
        <v>19</v>
      </c>
      <c r="B52" s="672">
        <f>(STDEV(B45:B50)/B51)</f>
        <v>2.5584512001875326E-3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22</v>
      </c>
      <c r="C55" s="681"/>
      <c r="D55" s="681"/>
      <c r="E55" s="681"/>
    </row>
    <row r="56" spans="1:7" ht="16.5" customHeight="1" x14ac:dyDescent="0.3">
      <c r="A56" s="656"/>
      <c r="B56" s="680" t="s">
        <v>23</v>
      </c>
      <c r="C56" s="681"/>
      <c r="D56" s="681"/>
      <c r="E56" s="681"/>
    </row>
    <row r="57" spans="1:7" ht="16.5" customHeight="1" x14ac:dyDescent="0.3">
      <c r="A57" s="656"/>
      <c r="B57" s="680" t="s">
        <v>24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26</v>
      </c>
      <c r="C59" s="686"/>
      <c r="E59" s="687" t="s">
        <v>27</v>
      </c>
      <c r="F59" s="688"/>
      <c r="G59" s="687" t="s">
        <v>28</v>
      </c>
    </row>
    <row r="60" spans="1:7" ht="15" customHeight="1" x14ac:dyDescent="0.3">
      <c r="A60" s="689" t="s">
        <v>29</v>
      </c>
      <c r="B60" s="690"/>
      <c r="C60" s="690"/>
      <c r="E60" s="690"/>
      <c r="G60" s="690"/>
    </row>
    <row r="61" spans="1:7" ht="15" customHeight="1" x14ac:dyDescent="0.3">
      <c r="A61" s="689" t="s">
        <v>30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D91" sqref="D91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131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133</v>
      </c>
      <c r="E18" s="655"/>
    </row>
    <row r="19" spans="1:5" ht="16.5" customHeight="1" x14ac:dyDescent="0.3">
      <c r="A19" s="656" t="s">
        <v>6</v>
      </c>
      <c r="B19" s="657">
        <v>99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33.47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0.3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116462205</v>
      </c>
      <c r="C24" s="662">
        <v>5784.9</v>
      </c>
      <c r="D24" s="663">
        <v>1.1000000000000001</v>
      </c>
      <c r="E24" s="664">
        <v>3.8</v>
      </c>
    </row>
    <row r="25" spans="1:5" ht="16.5" customHeight="1" x14ac:dyDescent="0.3">
      <c r="A25" s="661">
        <v>2</v>
      </c>
      <c r="B25" s="662">
        <v>116077824</v>
      </c>
      <c r="C25" s="662">
        <v>6057.8</v>
      </c>
      <c r="D25" s="663">
        <v>1.1000000000000001</v>
      </c>
      <c r="E25" s="663">
        <v>3.8</v>
      </c>
    </row>
    <row r="26" spans="1:5" ht="16.5" customHeight="1" x14ac:dyDescent="0.3">
      <c r="A26" s="661">
        <v>3</v>
      </c>
      <c r="B26" s="662">
        <v>115897625</v>
      </c>
      <c r="C26" s="662">
        <v>5980</v>
      </c>
      <c r="D26" s="663">
        <v>1.1000000000000001</v>
      </c>
      <c r="E26" s="663">
        <v>3.8</v>
      </c>
    </row>
    <row r="27" spans="1:5" ht="16.5" customHeight="1" x14ac:dyDescent="0.3">
      <c r="A27" s="661">
        <v>4</v>
      </c>
      <c r="B27" s="662">
        <v>115639780</v>
      </c>
      <c r="C27" s="662">
        <v>5998.3</v>
      </c>
      <c r="D27" s="663">
        <v>1.1000000000000001</v>
      </c>
      <c r="E27" s="663">
        <v>3.8</v>
      </c>
    </row>
    <row r="28" spans="1:5" ht="16.5" customHeight="1" x14ac:dyDescent="0.3">
      <c r="A28" s="661">
        <v>5</v>
      </c>
      <c r="B28" s="662">
        <v>115536564</v>
      </c>
      <c r="C28" s="662">
        <v>6015.3</v>
      </c>
      <c r="D28" s="663">
        <v>1.1000000000000001</v>
      </c>
      <c r="E28" s="663">
        <v>3.8</v>
      </c>
    </row>
    <row r="29" spans="1:5" ht="16.5" customHeight="1" x14ac:dyDescent="0.3">
      <c r="A29" s="661">
        <v>6</v>
      </c>
      <c r="B29" s="665">
        <v>115085168</v>
      </c>
      <c r="C29" s="665">
        <v>5991.4</v>
      </c>
      <c r="D29" s="666">
        <v>1.1000000000000001</v>
      </c>
      <c r="E29" s="666">
        <v>3.8</v>
      </c>
    </row>
    <row r="30" spans="1:5" ht="16.5" customHeight="1" x14ac:dyDescent="0.3">
      <c r="A30" s="667" t="s">
        <v>18</v>
      </c>
      <c r="B30" s="668">
        <f>AVERAGE(B24:B29)</f>
        <v>115783194.33333333</v>
      </c>
      <c r="C30" s="669">
        <f>AVERAGE(C24:C29)</f>
        <v>5971.2833333333328</v>
      </c>
      <c r="D30" s="670">
        <f>AVERAGE(D24:D29)</f>
        <v>1.0999999999999999</v>
      </c>
      <c r="E30" s="670">
        <f>AVERAGE(E24:E29)</f>
        <v>3.8000000000000003</v>
      </c>
    </row>
    <row r="31" spans="1:5" ht="16.5" customHeight="1" x14ac:dyDescent="0.3">
      <c r="A31" s="671" t="s">
        <v>19</v>
      </c>
      <c r="B31" s="672">
        <f>(STDEV(B24:B29)/B30)</f>
        <v>4.1051607741571117E-3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22</v>
      </c>
      <c r="C34" s="681"/>
      <c r="D34" s="681"/>
      <c r="E34" s="681"/>
    </row>
    <row r="35" spans="1:5" ht="16.5" customHeight="1" x14ac:dyDescent="0.3">
      <c r="A35" s="656"/>
      <c r="B35" s="680" t="s">
        <v>23</v>
      </c>
      <c r="C35" s="681"/>
      <c r="D35" s="681"/>
      <c r="E35" s="681"/>
    </row>
    <row r="36" spans="1:5" ht="16.5" customHeight="1" x14ac:dyDescent="0.3">
      <c r="A36" s="656"/>
      <c r="B36" s="680" t="s">
        <v>24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25</v>
      </c>
    </row>
    <row r="39" spans="1:5" ht="16.5" customHeight="1" x14ac:dyDescent="0.3">
      <c r="A39" s="656" t="s">
        <v>4</v>
      </c>
      <c r="B39" s="654" t="s">
        <v>133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99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30.83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0.3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105643420</v>
      </c>
      <c r="C45" s="662">
        <v>6520.7</v>
      </c>
      <c r="D45" s="663">
        <v>1.1000000000000001</v>
      </c>
      <c r="E45" s="664">
        <v>3.7</v>
      </c>
    </row>
    <row r="46" spans="1:5" ht="16.5" customHeight="1" x14ac:dyDescent="0.3">
      <c r="A46" s="661">
        <v>2</v>
      </c>
      <c r="B46" s="662">
        <v>105918157</v>
      </c>
      <c r="C46" s="662">
        <v>6756.6</v>
      </c>
      <c r="D46" s="663">
        <v>1.1000000000000001</v>
      </c>
      <c r="E46" s="663">
        <v>3.7</v>
      </c>
    </row>
    <row r="47" spans="1:5" ht="16.5" customHeight="1" x14ac:dyDescent="0.3">
      <c r="A47" s="661">
        <v>3</v>
      </c>
      <c r="B47" s="662">
        <v>106249366</v>
      </c>
      <c r="C47" s="662">
        <v>6728.6</v>
      </c>
      <c r="D47" s="663">
        <v>1.1000000000000001</v>
      </c>
      <c r="E47" s="663">
        <v>3.7</v>
      </c>
    </row>
    <row r="48" spans="1:5" ht="16.5" customHeight="1" x14ac:dyDescent="0.3">
      <c r="A48" s="661">
        <v>4</v>
      </c>
      <c r="B48" s="662">
        <v>105909137</v>
      </c>
      <c r="C48" s="662">
        <v>6734.9</v>
      </c>
      <c r="D48" s="663">
        <v>1.1000000000000001</v>
      </c>
      <c r="E48" s="663">
        <v>3.7</v>
      </c>
    </row>
    <row r="49" spans="1:7" ht="16.5" customHeight="1" x14ac:dyDescent="0.3">
      <c r="A49" s="661">
        <v>5</v>
      </c>
      <c r="B49" s="662">
        <v>106628382</v>
      </c>
      <c r="C49" s="662">
        <v>6703.8</v>
      </c>
      <c r="D49" s="663">
        <v>1.1000000000000001</v>
      </c>
      <c r="E49" s="663">
        <v>3.7</v>
      </c>
    </row>
    <row r="50" spans="1:7" ht="16.5" customHeight="1" x14ac:dyDescent="0.3">
      <c r="A50" s="661">
        <v>6</v>
      </c>
      <c r="B50" s="665">
        <v>106437282</v>
      </c>
      <c r="C50" s="665">
        <v>6738.2</v>
      </c>
      <c r="D50" s="666">
        <v>1.1000000000000001</v>
      </c>
      <c r="E50" s="666">
        <v>3.7</v>
      </c>
    </row>
    <row r="51" spans="1:7" ht="16.5" customHeight="1" x14ac:dyDescent="0.3">
      <c r="A51" s="667" t="s">
        <v>18</v>
      </c>
      <c r="B51" s="668">
        <f>AVERAGE(B45:B50)</f>
        <v>106130957.33333333</v>
      </c>
      <c r="C51" s="669">
        <f>AVERAGE(C45:C50)</f>
        <v>6697.1333333333341</v>
      </c>
      <c r="D51" s="670">
        <f>AVERAGE(D45:D50)</f>
        <v>1.0999999999999999</v>
      </c>
      <c r="E51" s="670">
        <f>AVERAGE(E45:E50)</f>
        <v>3.6999999999999997</v>
      </c>
    </row>
    <row r="52" spans="1:7" ht="16.5" customHeight="1" x14ac:dyDescent="0.3">
      <c r="A52" s="671" t="s">
        <v>19</v>
      </c>
      <c r="B52" s="672">
        <f>(STDEV(B45:B50)/B51)</f>
        <v>3.4938080051031598E-3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22</v>
      </c>
      <c r="C55" s="681"/>
      <c r="D55" s="681"/>
      <c r="E55" s="681"/>
    </row>
    <row r="56" spans="1:7" ht="16.5" customHeight="1" x14ac:dyDescent="0.3">
      <c r="A56" s="656"/>
      <c r="B56" s="680" t="s">
        <v>23</v>
      </c>
      <c r="C56" s="681"/>
      <c r="D56" s="681"/>
      <c r="E56" s="681"/>
    </row>
    <row r="57" spans="1:7" ht="16.5" customHeight="1" x14ac:dyDescent="0.3">
      <c r="A57" s="656"/>
      <c r="B57" s="680" t="s">
        <v>24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26</v>
      </c>
      <c r="C59" s="686"/>
      <c r="E59" s="687" t="s">
        <v>27</v>
      </c>
      <c r="F59" s="688"/>
      <c r="G59" s="687" t="s">
        <v>28</v>
      </c>
    </row>
    <row r="60" spans="1:7" ht="15" customHeight="1" x14ac:dyDescent="0.3">
      <c r="A60" s="689" t="s">
        <v>29</v>
      </c>
      <c r="B60" s="690"/>
      <c r="C60" s="690"/>
      <c r="E60" s="690"/>
      <c r="G60" s="690"/>
    </row>
    <row r="61" spans="1:7" ht="15" customHeight="1" x14ac:dyDescent="0.3">
      <c r="A61" s="689" t="s">
        <v>30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D91" sqref="D91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131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134</v>
      </c>
      <c r="E18" s="655"/>
    </row>
    <row r="19" spans="1:5" ht="16.5" customHeight="1" x14ac:dyDescent="0.3">
      <c r="A19" s="656" t="s">
        <v>6</v>
      </c>
      <c r="B19" s="657">
        <v>101.34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15.79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0.15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63688632</v>
      </c>
      <c r="C24" s="662">
        <v>5784.9</v>
      </c>
      <c r="D24" s="663">
        <v>1.2</v>
      </c>
      <c r="E24" s="664">
        <v>2.9</v>
      </c>
    </row>
    <row r="25" spans="1:5" ht="16.5" customHeight="1" x14ac:dyDescent="0.3">
      <c r="A25" s="661">
        <v>2</v>
      </c>
      <c r="B25" s="662">
        <v>63516846</v>
      </c>
      <c r="C25" s="662">
        <v>5736.6</v>
      </c>
      <c r="D25" s="663">
        <v>1.2</v>
      </c>
      <c r="E25" s="663">
        <v>2.9</v>
      </c>
    </row>
    <row r="26" spans="1:5" ht="16.5" customHeight="1" x14ac:dyDescent="0.3">
      <c r="A26" s="661">
        <v>3</v>
      </c>
      <c r="B26" s="662">
        <v>63420754</v>
      </c>
      <c r="C26" s="662">
        <v>5670.5</v>
      </c>
      <c r="D26" s="663">
        <v>1.2</v>
      </c>
      <c r="E26" s="663">
        <v>2.9</v>
      </c>
    </row>
    <row r="27" spans="1:5" ht="16.5" customHeight="1" x14ac:dyDescent="0.3">
      <c r="A27" s="661">
        <v>4</v>
      </c>
      <c r="B27" s="662">
        <v>63185189</v>
      </c>
      <c r="C27" s="662">
        <v>5643.3</v>
      </c>
      <c r="D27" s="663">
        <v>1.2</v>
      </c>
      <c r="E27" s="663">
        <v>2.9</v>
      </c>
    </row>
    <row r="28" spans="1:5" ht="16.5" customHeight="1" x14ac:dyDescent="0.3">
      <c r="A28" s="661">
        <v>5</v>
      </c>
      <c r="B28" s="662">
        <v>63301218</v>
      </c>
      <c r="C28" s="662">
        <v>5678</v>
      </c>
      <c r="D28" s="663">
        <v>1.1000000000000001</v>
      </c>
      <c r="E28" s="663">
        <v>2.9</v>
      </c>
    </row>
    <row r="29" spans="1:5" ht="16.5" customHeight="1" x14ac:dyDescent="0.3">
      <c r="A29" s="661">
        <v>6</v>
      </c>
      <c r="B29" s="665">
        <v>62960071</v>
      </c>
      <c r="C29" s="665">
        <v>5674.6</v>
      </c>
      <c r="D29" s="666">
        <v>1.2</v>
      </c>
      <c r="E29" s="666">
        <v>2.9</v>
      </c>
    </row>
    <row r="30" spans="1:5" ht="16.5" customHeight="1" x14ac:dyDescent="0.3">
      <c r="A30" s="667" t="s">
        <v>18</v>
      </c>
      <c r="B30" s="668">
        <f>AVERAGE(B24:B29)</f>
        <v>63345451.666666664</v>
      </c>
      <c r="C30" s="669">
        <f>AVERAGE(C24:C29)</f>
        <v>5697.9833333333336</v>
      </c>
      <c r="D30" s="670">
        <f>AVERAGE(D24:D29)</f>
        <v>1.1833333333333333</v>
      </c>
      <c r="E30" s="670">
        <f>AVERAGE(E24:E29)</f>
        <v>2.9</v>
      </c>
    </row>
    <row r="31" spans="1:5" ht="16.5" customHeight="1" x14ac:dyDescent="0.3">
      <c r="A31" s="671" t="s">
        <v>19</v>
      </c>
      <c r="B31" s="672">
        <f>(STDEV(B24:B29)/B30)</f>
        <v>4.0493295184471029E-3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22</v>
      </c>
      <c r="C34" s="681"/>
      <c r="D34" s="681"/>
      <c r="E34" s="681"/>
    </row>
    <row r="35" spans="1:5" ht="16.5" customHeight="1" x14ac:dyDescent="0.3">
      <c r="A35" s="656"/>
      <c r="B35" s="680" t="s">
        <v>23</v>
      </c>
      <c r="C35" s="681"/>
      <c r="D35" s="681"/>
      <c r="E35" s="681"/>
    </row>
    <row r="36" spans="1:5" ht="16.5" customHeight="1" x14ac:dyDescent="0.3">
      <c r="A36" s="656"/>
      <c r="B36" s="680" t="s">
        <v>24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25</v>
      </c>
    </row>
    <row r="39" spans="1:5" ht="16.5" customHeight="1" x14ac:dyDescent="0.3">
      <c r="A39" s="656" t="s">
        <v>4</v>
      </c>
      <c r="B39" s="654" t="s">
        <v>134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101.34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15.79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0.15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67460583</v>
      </c>
      <c r="C45" s="662">
        <v>6239.8</v>
      </c>
      <c r="D45" s="663">
        <v>1.2</v>
      </c>
      <c r="E45" s="664">
        <v>2.9</v>
      </c>
    </row>
    <row r="46" spans="1:5" ht="16.5" customHeight="1" x14ac:dyDescent="0.3">
      <c r="A46" s="661">
        <v>2</v>
      </c>
      <c r="B46" s="662">
        <v>67795040</v>
      </c>
      <c r="C46" s="662">
        <v>6416.5</v>
      </c>
      <c r="D46" s="663">
        <v>1.2</v>
      </c>
      <c r="E46" s="663">
        <v>2.9</v>
      </c>
    </row>
    <row r="47" spans="1:5" ht="16.5" customHeight="1" x14ac:dyDescent="0.3">
      <c r="A47" s="661">
        <v>3</v>
      </c>
      <c r="B47" s="662">
        <v>67961719</v>
      </c>
      <c r="C47" s="662">
        <v>6382.3</v>
      </c>
      <c r="D47" s="663">
        <v>1.2</v>
      </c>
      <c r="E47" s="663">
        <v>2.9</v>
      </c>
    </row>
    <row r="48" spans="1:5" ht="16.5" customHeight="1" x14ac:dyDescent="0.3">
      <c r="A48" s="661">
        <v>4</v>
      </c>
      <c r="B48" s="662">
        <v>67746098</v>
      </c>
      <c r="C48" s="662">
        <v>6382.3</v>
      </c>
      <c r="D48" s="663">
        <v>1.2</v>
      </c>
      <c r="E48" s="663">
        <v>2.9</v>
      </c>
    </row>
    <row r="49" spans="1:7" ht="16.5" customHeight="1" x14ac:dyDescent="0.3">
      <c r="A49" s="661">
        <v>5</v>
      </c>
      <c r="B49" s="662">
        <v>68215475</v>
      </c>
      <c r="C49" s="662">
        <v>6412</v>
      </c>
      <c r="D49" s="663">
        <v>1.2</v>
      </c>
      <c r="E49" s="663">
        <v>2.9</v>
      </c>
    </row>
    <row r="50" spans="1:7" ht="16.5" customHeight="1" x14ac:dyDescent="0.3">
      <c r="A50" s="661">
        <v>6</v>
      </c>
      <c r="B50" s="665">
        <v>68008695</v>
      </c>
      <c r="C50" s="665">
        <v>6418.9</v>
      </c>
      <c r="D50" s="666">
        <v>1.2</v>
      </c>
      <c r="E50" s="666">
        <v>2.9</v>
      </c>
    </row>
    <row r="51" spans="1:7" ht="16.5" customHeight="1" x14ac:dyDescent="0.3">
      <c r="A51" s="667" t="s">
        <v>18</v>
      </c>
      <c r="B51" s="668">
        <f>AVERAGE(B45:B50)</f>
        <v>67864601.666666672</v>
      </c>
      <c r="C51" s="669">
        <f>AVERAGE(C45:C50)</f>
        <v>6375.2999999999993</v>
      </c>
      <c r="D51" s="670">
        <f>AVERAGE(D45:D50)</f>
        <v>1.2</v>
      </c>
      <c r="E51" s="670">
        <f>AVERAGE(E45:E50)</f>
        <v>2.9</v>
      </c>
    </row>
    <row r="52" spans="1:7" ht="16.5" customHeight="1" x14ac:dyDescent="0.3">
      <c r="A52" s="671" t="s">
        <v>19</v>
      </c>
      <c r="B52" s="672">
        <f>(STDEV(B45:B50)/B51)</f>
        <v>3.8165067427510901E-3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22</v>
      </c>
      <c r="C55" s="681"/>
      <c r="D55" s="681"/>
      <c r="E55" s="681"/>
    </row>
    <row r="56" spans="1:7" ht="16.5" customHeight="1" x14ac:dyDescent="0.3">
      <c r="A56" s="656"/>
      <c r="B56" s="680" t="s">
        <v>23</v>
      </c>
      <c r="C56" s="681"/>
      <c r="D56" s="681"/>
      <c r="E56" s="681"/>
    </row>
    <row r="57" spans="1:7" ht="16.5" customHeight="1" x14ac:dyDescent="0.3">
      <c r="A57" s="656"/>
      <c r="B57" s="680" t="s">
        <v>24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26</v>
      </c>
      <c r="C59" s="686"/>
      <c r="E59" s="687" t="s">
        <v>27</v>
      </c>
      <c r="F59" s="688"/>
      <c r="G59" s="687" t="s">
        <v>28</v>
      </c>
    </row>
    <row r="60" spans="1:7" ht="15" customHeight="1" x14ac:dyDescent="0.3">
      <c r="A60" s="689" t="s">
        <v>29</v>
      </c>
      <c r="B60" s="690"/>
      <c r="C60" s="690"/>
      <c r="E60" s="690"/>
      <c r="G60" s="690"/>
    </row>
    <row r="61" spans="1:7" ht="15" customHeight="1" x14ac:dyDescent="0.3">
      <c r="A61" s="689" t="s">
        <v>30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Uniformity</vt:lpstr>
      <vt:lpstr>LAMIVUDINE</vt:lpstr>
      <vt:lpstr>NEVIRAPINE</vt:lpstr>
      <vt:lpstr>ZIDOVUDINE</vt:lpstr>
      <vt:lpstr>SST (Nevirapine)</vt:lpstr>
      <vt:lpstr>SST(zidovudine)</vt:lpstr>
      <vt:lpstr>SST(lamivudine)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2015-10-01T06:59:53Z</cp:lastPrinted>
  <dcterms:created xsi:type="dcterms:W3CDTF">2005-07-05T10:19:27Z</dcterms:created>
  <dcterms:modified xsi:type="dcterms:W3CDTF">2015-10-01T07:00:45Z</dcterms:modified>
  <cp:category/>
</cp:coreProperties>
</file>