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3095" windowHeight="4305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94" i="3" l="1"/>
  <c r="E93" i="3"/>
  <c r="E92" i="3"/>
  <c r="E91" i="3"/>
  <c r="E41" i="3"/>
  <c r="E40" i="3"/>
  <c r="E39" i="3"/>
  <c r="E38" i="3"/>
  <c r="B21" i="1" l="1"/>
  <c r="C15" i="2" l="1"/>
  <c r="B45" i="3"/>
  <c r="D48" i="3" s="1"/>
  <c r="G38" i="3" s="1"/>
  <c r="B87" i="3"/>
  <c r="B34" i="3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B69" i="3" s="1"/>
  <c r="C56" i="3"/>
  <c r="B55" i="3"/>
  <c r="F42" i="3"/>
  <c r="D42" i="3"/>
  <c r="D44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7" i="2" l="1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G91" i="3" s="1"/>
  <c r="F97" i="3"/>
  <c r="F98" i="3" s="1"/>
  <c r="I39" i="3"/>
  <c r="F44" i="3"/>
  <c r="F45" i="3" s="1"/>
  <c r="D45" i="3"/>
  <c r="D98" i="3"/>
  <c r="D49" i="3"/>
  <c r="C50" i="2"/>
  <c r="D102" i="3" l="1"/>
  <c r="G93" i="3"/>
  <c r="G94" i="3"/>
  <c r="F99" i="3"/>
  <c r="G92" i="3"/>
  <c r="D46" i="3"/>
  <c r="F46" i="3"/>
  <c r="G39" i="3"/>
  <c r="G41" i="3"/>
  <c r="G40" i="3"/>
  <c r="D99" i="3"/>
  <c r="G95" i="3" l="1"/>
  <c r="D103" i="3"/>
  <c r="E111" i="3" s="1"/>
  <c r="F111" i="3" s="1"/>
  <c r="G42" i="3"/>
  <c r="E95" i="3"/>
  <c r="D52" i="3"/>
  <c r="E42" i="3"/>
  <c r="D105" i="3"/>
  <c r="D50" i="3"/>
  <c r="D104" i="3" l="1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<sst xmlns="http://schemas.openxmlformats.org/spreadsheetml/2006/main" count="232" uniqueCount="127">
  <si>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</si>
  <si>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</si>
  <si>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</si>
  <si>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</si>
  <si>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</si>
  <si>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</si>
  <si>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</si>
  <si>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Weight (mg):</t>
  </si>
  <si>
    <t>EFAVIRENZ</t>
  </si>
  <si>
    <t>Standard Conc (mg/mL):</t>
  </si>
  <si>
    <t>Each film-coated tablet contains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</si>
  <si>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</si>
  <si>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</si>
  <si>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</si>
  <si>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</si>
  <si>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</si>
  <si>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</si>
  <si>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</si>
  <si>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</si>
  <si>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</si>
  <si>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</si>
  <si>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</si>
  <si>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</si>
  <si>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</si>
  <si>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</si>
  <si>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</si>
  <si>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</si>
  <si>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</si>
  <si>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</si>
  <si>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</si>
  <si>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</si>
  <si>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</si>
  <si>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</si>
  <si>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</si>
  <si>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</si>
  <si>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</si>
  <si>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</si>
  <si>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</si>
  <si>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</si>
  <si>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</si>
  <si>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</si>
  <si>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</si>
  <si>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</si>
  <si>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</si>
  <si>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</si>
  <si>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</si>
  <si>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</si>
  <si>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</si>
  <si>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</si>
  <si>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</si>
  <si>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</si>
  <si>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</si>
  <si>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</si>
  <si>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</si>
  <si>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</si>
  <si>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</si>
  <si>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</si>
  <si>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</si>
  <si>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</si>
  <si>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</si>
  <si>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</si>
  <si>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</si>
  <si>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</si>
  <si>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</si>
  <si>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</si>
  <si>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</si>
  <si>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</si>
  <si>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</si>
  <si>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</si>
  <si>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</si>
  <si>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</si>
  <si>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</si>
  <si>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</si>
  <si>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</si>
  <si>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</si>
  <si>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</si>
  <si>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</si>
  <si>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</si>
  <si>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</si>
  <si>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</si>
  <si>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</si>
  <si>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</si>
  <si>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</si>
  <si>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</si>
  <si>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</si>
  <si>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</si>
  <si>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</si>
  <si>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</si>
  <si>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</si>
  <si>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</si>
  <si>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</si>
  <si>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</si>
  <si>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</si>
  <si>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</si>
  <si>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</si>
  <si>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</si>
  <si>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</si>
  <si>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</si>
  <si>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</si>
  <si>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</si>
  <si>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</si>
  <si>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</si>
  <si>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</si>
  <si>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</si>
  <si>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</si>
  <si>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</si>
  <si>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</si>
  <si>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</si>
  <si>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</si>
  <si>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</si>
  <si>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</si>
  <si>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</si>
  <si>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</si>
  <si>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</si>
  <si>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</si>
  <si>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</si>
  <si>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</si>
  <si>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</si>
  <si>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</si>
  <si>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</si>
  <si>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</si>
  <si>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</si>
  <si>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</si>
  <si>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</si>
  <si>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 3</t>
  </si>
  <si>
    <t>NDQD201508126</t>
  </si>
  <si>
    <t>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</si>
</sst>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16" zoomScaleNormal="100" zoomScaleSheetLayoutView="100" workbookViewId="0">
      <selection activeCell="B24" sqref="B24:E29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89" t="s">
        <v>0</v>
      </c>
      <c r="B15" s="289"/>
      <c r="C15" s="289"/>
      <c r="D15" s="289"/>
      <c r="E15" s="289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8</v>
      </c>
      <c r="C18" s="10"/>
      <c r="D18" s="10"/>
      <c r="E18" s="10"/>
    </row>
    <row r="19" spans="1:6" ht="16.5" customHeight="1">
      <c r="A19" s="11" t="s">
        <v>6</v>
      </c>
      <c r="B19" s="12">
        <v>99.3</v>
      </c>
      <c r="C19" s="10"/>
      <c r="D19" s="10"/>
      <c r="E19" s="10"/>
    </row>
    <row r="20" spans="1:6" ht="16.5" customHeight="1">
      <c r="A20" s="7" t="s">
        <v>7</v>
      </c>
      <c r="B20" s="9">
        <v>27.22</v>
      </c>
      <c r="C20" s="10"/>
      <c r="D20" s="10"/>
      <c r="E20" s="10"/>
    </row>
    <row r="21" spans="1:6" ht="16.5" customHeight="1">
      <c r="A21" s="7" t="s">
        <v>9</v>
      </c>
      <c r="B21" s="13">
        <f>B20/10*1/25</f>
        <v>0.10888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>
      <c r="A24" s="17">
        <v>1</v>
      </c>
      <c r="B24" s="18">
        <v>114150927</v>
      </c>
      <c r="C24" s="18">
        <v>49976.800000000003</v>
      </c>
      <c r="D24" s="19">
        <v>1.1000000000000001</v>
      </c>
      <c r="E24" s="20">
        <v>11.313000000000001</v>
      </c>
    </row>
    <row r="25" spans="1:6" ht="16.5" customHeight="1">
      <c r="A25" s="17">
        <v>2</v>
      </c>
      <c r="B25" s="18">
        <v>113785619</v>
      </c>
      <c r="C25" s="18">
        <v>50386.2</v>
      </c>
      <c r="D25" s="19">
        <v>1</v>
      </c>
      <c r="E25" s="19">
        <v>11.318</v>
      </c>
    </row>
    <row r="26" spans="1:6" ht="16.5" customHeight="1">
      <c r="A26" s="17">
        <v>3</v>
      </c>
      <c r="B26" s="18">
        <v>113552589</v>
      </c>
      <c r="C26" s="18">
        <v>52077.2</v>
      </c>
      <c r="D26" s="19">
        <v>1</v>
      </c>
      <c r="E26" s="19">
        <v>11.43</v>
      </c>
    </row>
    <row r="27" spans="1:6" ht="16.5" customHeight="1">
      <c r="A27" s="17">
        <v>4</v>
      </c>
      <c r="B27" s="18">
        <v>114054715</v>
      </c>
      <c r="C27" s="18">
        <v>50402.5</v>
      </c>
      <c r="D27" s="19">
        <v>1.1000000000000001</v>
      </c>
      <c r="E27" s="19">
        <v>11.318</v>
      </c>
    </row>
    <row r="28" spans="1:6" ht="16.5" customHeight="1">
      <c r="A28" s="17">
        <v>5</v>
      </c>
      <c r="B28" s="18">
        <v>114254934</v>
      </c>
      <c r="C28" s="18">
        <v>50596.800000000003</v>
      </c>
      <c r="D28" s="19">
        <v>1.1000000000000001</v>
      </c>
      <c r="E28" s="19">
        <v>11.318</v>
      </c>
    </row>
    <row r="29" spans="1:6" ht="16.5" customHeight="1">
      <c r="A29" s="17">
        <v>6</v>
      </c>
      <c r="B29" s="21">
        <v>113997770</v>
      </c>
      <c r="C29" s="21">
        <v>51266.2</v>
      </c>
      <c r="D29" s="22">
        <v>1</v>
      </c>
      <c r="E29" s="22">
        <v>11.318</v>
      </c>
    </row>
    <row r="30" spans="1:6" ht="16.5" customHeight="1">
      <c r="A30" s="23" t="s">
        <v>16</v>
      </c>
      <c r="B30" s="24">
        <f>AVERAGE(B24:B29)</f>
        <v>113966092.33333333</v>
      </c>
      <c r="C30" s="25">
        <f>AVERAGE(C24:C29)</f>
        <v>50784.283333333333</v>
      </c>
      <c r="D30" s="26">
        <f>AVERAGE(D24:D29)</f>
        <v>1.05</v>
      </c>
      <c r="E30" s="26">
        <f>AVERAGE(E24:E29)</f>
        <v>11.335833333333333</v>
      </c>
    </row>
    <row r="31" spans="1:6" ht="16.5" customHeight="1">
      <c r="A31" s="27" t="s">
        <v>17</v>
      </c>
      <c r="B31" s="28">
        <f>(STDEV(B24:B29)/B30)</f>
        <v>2.2542420724668165E-3</v>
      </c>
      <c r="C31" s="29"/>
      <c r="D31" s="29"/>
      <c r="E31" s="30"/>
      <c r="F31" s="2"/>
    </row>
    <row r="32" spans="1:6" s="2" customFormat="1" ht="16.5" customHeight="1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19</v>
      </c>
      <c r="B34" s="37" t="s">
        <v>20</v>
      </c>
      <c r="C34" s="38"/>
      <c r="D34" s="38"/>
      <c r="E34" s="39"/>
    </row>
    <row r="35" spans="1:6" ht="16.5" customHeight="1">
      <c r="A35" s="11"/>
      <c r="B35" s="37" t="s">
        <v>21</v>
      </c>
      <c r="C35" s="38"/>
      <c r="D35" s="38"/>
      <c r="E35" s="39"/>
      <c r="F35" s="2"/>
    </row>
    <row r="36" spans="1:6" ht="16.5" customHeight="1">
      <c r="A36" s="11"/>
      <c r="B36" s="40" t="s">
        <v>22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23</v>
      </c>
    </row>
    <row r="39" spans="1:6" ht="16.5" customHeight="1">
      <c r="A39" s="11" t="s">
        <v>4</v>
      </c>
      <c r="B39" s="281" t="str">
        <f>B18</f>
        <v>EFAVIRENZ</v>
      </c>
      <c r="C39" s="10"/>
      <c r="D39" s="10"/>
      <c r="E39" s="10"/>
    </row>
    <row r="40" spans="1:6" ht="16.5" customHeight="1">
      <c r="A40" s="11" t="s">
        <v>6</v>
      </c>
      <c r="B40" s="12">
        <f>B19</f>
        <v>99.3</v>
      </c>
      <c r="C40" s="10"/>
      <c r="D40" s="10"/>
      <c r="E40" s="10"/>
    </row>
    <row r="41" spans="1:6" ht="16.5" customHeight="1">
      <c r="A41" s="7" t="s">
        <v>7</v>
      </c>
      <c r="B41" s="12">
        <f>B20</f>
        <v>27.22</v>
      </c>
      <c r="C41" s="10"/>
      <c r="D41" s="10"/>
      <c r="E41" s="10"/>
    </row>
    <row r="42" spans="1:6" ht="16.5" customHeight="1">
      <c r="A42" s="7" t="s">
        <v>9</v>
      </c>
      <c r="B42" s="13">
        <f>B21</f>
        <v>0.10888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>
      <c r="A45" s="17">
        <v>1</v>
      </c>
      <c r="B45" s="18">
        <v>114150927</v>
      </c>
      <c r="C45" s="18">
        <v>49976.800000000003</v>
      </c>
      <c r="D45" s="19">
        <v>1.1000000000000001</v>
      </c>
      <c r="E45" s="20">
        <v>11.3</v>
      </c>
    </row>
    <row r="46" spans="1:6" ht="16.5" customHeight="1">
      <c r="A46" s="17">
        <v>2</v>
      </c>
      <c r="B46" s="18">
        <v>113785619</v>
      </c>
      <c r="C46" s="18">
        <v>50386.2</v>
      </c>
      <c r="D46" s="19">
        <v>1</v>
      </c>
      <c r="E46" s="19">
        <v>11.3</v>
      </c>
    </row>
    <row r="47" spans="1:6" ht="16.5" customHeight="1">
      <c r="A47" s="17">
        <v>3</v>
      </c>
      <c r="B47" s="18">
        <v>113552589</v>
      </c>
      <c r="C47" s="18">
        <v>52077.2</v>
      </c>
      <c r="D47" s="19">
        <v>1</v>
      </c>
      <c r="E47" s="19">
        <v>11.4</v>
      </c>
    </row>
    <row r="48" spans="1:6" ht="16.5" customHeight="1">
      <c r="A48" s="17">
        <v>4</v>
      </c>
      <c r="B48" s="18">
        <v>114054715</v>
      </c>
      <c r="C48" s="18">
        <v>50402.5</v>
      </c>
      <c r="D48" s="19">
        <v>1.1000000000000001</v>
      </c>
      <c r="E48" s="19">
        <v>11.3</v>
      </c>
    </row>
    <row r="49" spans="1:7" ht="16.5" customHeight="1">
      <c r="A49" s="17">
        <v>5</v>
      </c>
      <c r="B49" s="18">
        <v>114254934</v>
      </c>
      <c r="C49" s="18">
        <v>50596.800000000003</v>
      </c>
      <c r="D49" s="19">
        <v>1.1000000000000001</v>
      </c>
      <c r="E49" s="19">
        <v>11.3</v>
      </c>
    </row>
    <row r="50" spans="1:7" ht="16.5" customHeight="1">
      <c r="A50" s="17">
        <v>6</v>
      </c>
      <c r="B50" s="21">
        <v>113997770</v>
      </c>
      <c r="C50" s="21">
        <v>51266.2</v>
      </c>
      <c r="D50" s="22">
        <v>1</v>
      </c>
      <c r="E50" s="22">
        <v>11.3</v>
      </c>
    </row>
    <row r="51" spans="1:7" ht="16.5" customHeight="1">
      <c r="A51" s="23" t="s">
        <v>16</v>
      </c>
      <c r="B51" s="24">
        <f>AVERAGE(B45:B50)</f>
        <v>113966092.33333333</v>
      </c>
      <c r="C51" s="25">
        <f>AVERAGE(C45:C50)</f>
        <v>50784.283333333333</v>
      </c>
      <c r="D51" s="26">
        <f>AVERAGE(D45:D50)</f>
        <v>1.05</v>
      </c>
      <c r="E51" s="26">
        <f>AVERAGE(E45:E50)</f>
        <v>11.316666666666665</v>
      </c>
    </row>
    <row r="52" spans="1:7" ht="16.5" customHeight="1">
      <c r="A52" s="27" t="s">
        <v>17</v>
      </c>
      <c r="B52" s="28">
        <f>(STDEV(B45:B50)/B51)</f>
        <v>2.2542420724668165E-3</v>
      </c>
      <c r="C52" s="29"/>
      <c r="D52" s="29"/>
      <c r="E52" s="30"/>
      <c r="F52" s="2"/>
    </row>
    <row r="53" spans="1:7" s="2" customFormat="1" ht="16.5" customHeight="1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19</v>
      </c>
      <c r="B55" s="37" t="s">
        <v>20</v>
      </c>
      <c r="C55" s="38"/>
      <c r="D55" s="38"/>
      <c r="E55" s="39"/>
    </row>
    <row r="56" spans="1:7" ht="16.5" customHeight="1">
      <c r="A56" s="11"/>
      <c r="B56" s="37" t="s">
        <v>21</v>
      </c>
      <c r="C56" s="38"/>
      <c r="D56" s="38"/>
      <c r="E56" s="39"/>
      <c r="F56" s="2"/>
    </row>
    <row r="57" spans="1:7" ht="16.5" customHeight="1">
      <c r="A57" s="11"/>
      <c r="B57" s="40" t="s">
        <v>22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90" t="s">
        <v>24</v>
      </c>
      <c r="C59" s="290"/>
      <c r="E59" s="45" t="s">
        <v>25</v>
      </c>
      <c r="F59" s="46"/>
      <c r="G59" s="45" t="s">
        <v>26</v>
      </c>
    </row>
    <row r="60" spans="1:7" ht="15" customHeight="1">
      <c r="A60" s="47" t="s">
        <v>27</v>
      </c>
      <c r="B60" s="48" t="s">
        <v>126</v>
      </c>
      <c r="C60" s="48"/>
      <c r="E60" s="286">
        <v>42298</v>
      </c>
      <c r="F60" s="2"/>
      <c r="G60" s="49"/>
    </row>
    <row r="61" spans="1:7" ht="15" customHeight="1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D58" sqref="D58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4" t="s">
        <v>29</v>
      </c>
      <c r="B11" s="295"/>
      <c r="C11" s="295"/>
      <c r="D11" s="295"/>
      <c r="E11" s="295"/>
      <c r="F11" s="296"/>
      <c r="G11" s="91"/>
    </row>
    <row r="12" spans="1:7" ht="16.5" customHeight="1">
      <c r="A12" s="293" t="s">
        <v>30</v>
      </c>
      <c r="B12" s="293"/>
      <c r="C12" s="293"/>
      <c r="D12" s="293"/>
      <c r="E12" s="293"/>
      <c r="F12" s="293"/>
      <c r="G12" s="90"/>
    </row>
    <row r="14" spans="1:7" ht="16.5" customHeight="1">
      <c r="A14" s="298" t="s">
        <v>31</v>
      </c>
      <c r="B14" s="298"/>
      <c r="C14" s="60" t="s">
        <v>5</v>
      </c>
    </row>
    <row r="15" spans="1:7" ht="16.5" customHeight="1">
      <c r="A15" s="298" t="s">
        <v>32</v>
      </c>
      <c r="B15" s="298"/>
      <c r="C15" s="60" t="str">
        <f>Efavirenz!B19</f>
        <v>NDQD201508126</v>
      </c>
    </row>
    <row r="16" spans="1:7" ht="16.5" customHeight="1">
      <c r="A16" s="298" t="s">
        <v>33</v>
      </c>
      <c r="B16" s="298"/>
      <c r="C16" s="60" t="s">
        <v>8</v>
      </c>
    </row>
    <row r="17" spans="1:5" ht="16.5" customHeight="1">
      <c r="A17" s="298" t="s">
        <v>34</v>
      </c>
      <c r="B17" s="298"/>
      <c r="C17" s="60" t="s">
        <v>10</v>
      </c>
    </row>
    <row r="18" spans="1:5" ht="16.5" customHeight="1">
      <c r="A18" s="298" t="s">
        <v>35</v>
      </c>
      <c r="B18" s="298"/>
      <c r="C18" s="97">
        <v>42259</v>
      </c>
    </row>
    <row r="19" spans="1:5" ht="16.5" customHeight="1">
      <c r="A19" s="298" t="s">
        <v>36</v>
      </c>
      <c r="B19" s="298"/>
      <c r="C19" s="97">
        <v>42298</v>
      </c>
    </row>
    <row r="20" spans="1:5" ht="16.5" customHeight="1">
      <c r="A20" s="62"/>
      <c r="B20" s="62"/>
      <c r="C20" s="77"/>
    </row>
    <row r="21" spans="1:5" ht="16.5" customHeight="1">
      <c r="A21" s="293" t="s">
        <v>1</v>
      </c>
      <c r="B21" s="293"/>
      <c r="C21" s="59" t="s">
        <v>37</v>
      </c>
      <c r="D21" s="66"/>
    </row>
    <row r="22" spans="1:5" ht="15.75" customHeight="1">
      <c r="A22" s="297"/>
      <c r="B22" s="297"/>
      <c r="C22" s="57"/>
      <c r="D22" s="297"/>
      <c r="E22" s="297"/>
    </row>
    <row r="23" spans="1:5" ht="33.75" customHeight="1">
      <c r="C23" s="86" t="s">
        <v>38</v>
      </c>
      <c r="D23" s="85" t="s">
        <v>39</v>
      </c>
      <c r="E23" s="52"/>
    </row>
    <row r="24" spans="1:5" ht="15.75" customHeight="1">
      <c r="C24" s="95">
        <v>1234</v>
      </c>
      <c r="D24" s="87">
        <f t="shared" ref="D24:D43" si="0">(C24-$C$46)/$C$46</f>
        <v>4.5411937189312277E-3</v>
      </c>
      <c r="E24" s="53"/>
    </row>
    <row r="25" spans="1:5" ht="15.75" customHeight="1">
      <c r="C25" s="95">
        <v>1221.7</v>
      </c>
      <c r="D25" s="88">
        <f t="shared" si="0"/>
        <v>-5.4716561050094604E-3</v>
      </c>
      <c r="E25" s="53"/>
    </row>
    <row r="26" spans="1:5" ht="15.75" customHeight="1">
      <c r="C26" s="95">
        <v>1223.27</v>
      </c>
      <c r="D26" s="88">
        <f t="shared" si="0"/>
        <v>-4.1935931600024443E-3</v>
      </c>
      <c r="E26" s="53"/>
    </row>
    <row r="27" spans="1:5" ht="15.75" customHeight="1">
      <c r="C27" s="95">
        <v>1226.48</v>
      </c>
      <c r="D27" s="88">
        <f t="shared" si="0"/>
        <v>-1.5804835718032496E-3</v>
      </c>
      <c r="E27" s="53"/>
    </row>
    <row r="28" spans="1:5" ht="15.75" customHeight="1">
      <c r="C28" s="95">
        <v>1223.76</v>
      </c>
      <c r="D28" s="88">
        <f t="shared" si="0"/>
        <v>-3.794707272707237E-3</v>
      </c>
      <c r="E28" s="53"/>
    </row>
    <row r="29" spans="1:5" ht="15.75" customHeight="1">
      <c r="C29" s="95">
        <v>1219.46</v>
      </c>
      <c r="D29" s="88">
        <f t="shared" si="0"/>
        <v>-7.2951344469303799E-3</v>
      </c>
      <c r="E29" s="53"/>
    </row>
    <row r="30" spans="1:5" ht="15.75" customHeight="1">
      <c r="C30" s="95">
        <v>1227.05</v>
      </c>
      <c r="D30" s="88">
        <f t="shared" si="0"/>
        <v>-1.1164734580109263E-3</v>
      </c>
      <c r="E30" s="53"/>
    </row>
    <row r="31" spans="1:5" ht="15.75" customHeight="1">
      <c r="C31" s="95">
        <v>1231.19</v>
      </c>
      <c r="D31" s="88">
        <f t="shared" si="0"/>
        <v>2.2537052632179842E-3</v>
      </c>
      <c r="E31" s="53"/>
    </row>
    <row r="32" spans="1:5" ht="15.75" customHeight="1">
      <c r="C32" s="95">
        <v>1224.3399999999999</v>
      </c>
      <c r="D32" s="88">
        <f t="shared" si="0"/>
        <v>-3.3225566306027739E-3</v>
      </c>
      <c r="E32" s="53"/>
    </row>
    <row r="33" spans="1:7" ht="15.75" customHeight="1">
      <c r="C33" s="95">
        <v>1239.68</v>
      </c>
      <c r="D33" s="88">
        <f t="shared" si="0"/>
        <v>9.1650138002307355E-3</v>
      </c>
      <c r="E33" s="53"/>
    </row>
    <row r="34" spans="1:7" ht="15.75" customHeight="1">
      <c r="C34" s="95">
        <v>1227.92</v>
      </c>
      <c r="D34" s="88">
        <f t="shared" si="0"/>
        <v>-4.0824749485404715E-4</v>
      </c>
      <c r="E34" s="53"/>
    </row>
    <row r="35" spans="1:7" ht="15.75" customHeight="1">
      <c r="C35" s="95">
        <v>1227.8</v>
      </c>
      <c r="D35" s="88">
        <f t="shared" si="0"/>
        <v>-5.0593383459990651E-4</v>
      </c>
      <c r="E35" s="53"/>
    </row>
    <row r="36" spans="1:7" ht="15.75" customHeight="1">
      <c r="C36" s="95">
        <v>1236.17</v>
      </c>
      <c r="D36" s="88">
        <f t="shared" si="0"/>
        <v>6.3076883626671703E-3</v>
      </c>
      <c r="E36" s="53"/>
    </row>
    <row r="37" spans="1:7" ht="15.75" customHeight="1">
      <c r="C37" s="95">
        <v>1236.6600000000001</v>
      </c>
      <c r="D37" s="88">
        <f t="shared" si="0"/>
        <v>6.7065742499623779E-3</v>
      </c>
      <c r="E37" s="53"/>
    </row>
    <row r="38" spans="1:7" ht="15.75" customHeight="1">
      <c r="C38" s="95">
        <v>1229.3900000000001</v>
      </c>
      <c r="D38" s="88">
        <f t="shared" si="0"/>
        <v>7.8841016703157382E-4</v>
      </c>
      <c r="E38" s="53"/>
    </row>
    <row r="39" spans="1:7" ht="15.75" customHeight="1">
      <c r="C39" s="95">
        <v>1231.26</v>
      </c>
      <c r="D39" s="88">
        <f t="shared" si="0"/>
        <v>2.3106889614029611E-3</v>
      </c>
      <c r="E39" s="53"/>
    </row>
    <row r="40" spans="1:7" ht="15.75" customHeight="1">
      <c r="C40" s="95">
        <v>1230.4100000000001</v>
      </c>
      <c r="D40" s="88">
        <f t="shared" si="0"/>
        <v>1.6187440548705459E-3</v>
      </c>
      <c r="E40" s="53"/>
    </row>
    <row r="41" spans="1:7" ht="15.75" customHeight="1">
      <c r="C41" s="95">
        <v>1227.5999999999999</v>
      </c>
      <c r="D41" s="88">
        <f t="shared" si="0"/>
        <v>-6.6874440084288219E-4</v>
      </c>
      <c r="E41" s="53"/>
    </row>
    <row r="42" spans="1:7" ht="15.75" customHeight="1">
      <c r="C42" s="95">
        <v>1224.18</v>
      </c>
      <c r="D42" s="88">
        <f t="shared" si="0"/>
        <v>-3.4528050835970067E-3</v>
      </c>
      <c r="E42" s="53"/>
    </row>
    <row r="43" spans="1:7" ht="16.5" customHeight="1">
      <c r="C43" s="96">
        <v>1226.1099999999999</v>
      </c>
      <c r="D43" s="89">
        <f t="shared" si="0"/>
        <v>-1.8816831193527823E-3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40</v>
      </c>
      <c r="C45" s="83">
        <f>SUM(C24:C44)</f>
        <v>24568.429999999997</v>
      </c>
      <c r="D45" s="78"/>
      <c r="E45" s="54"/>
    </row>
    <row r="46" spans="1:7" ht="17.25" customHeight="1">
      <c r="B46" s="82" t="s">
        <v>41</v>
      </c>
      <c r="C46" s="84">
        <f>AVERAGE(C24:C44)</f>
        <v>1228.4214999999999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41</v>
      </c>
      <c r="C48" s="85" t="s">
        <v>42</v>
      </c>
      <c r="D48" s="80"/>
      <c r="G48" s="58"/>
    </row>
    <row r="49" spans="1:6" ht="17.25" customHeight="1">
      <c r="B49" s="291">
        <f>C46</f>
        <v>1228.4214999999999</v>
      </c>
      <c r="C49" s="93">
        <f>-IF(C46&lt;=80,10%,IF(C46&lt;250,7.5%,5%))</f>
        <v>-0.05</v>
      </c>
      <c r="D49" s="81">
        <f>IF(C46&lt;=80,C46*0.9,IF(C46&lt;250,C46*0.925,C46*0.95))</f>
        <v>1167.000425</v>
      </c>
    </row>
    <row r="50" spans="1:6" ht="17.25" customHeight="1">
      <c r="B50" s="292"/>
      <c r="C50" s="94">
        <f>IF(C46&lt;=80, 10%, IF(C46&lt;250, 7.5%, 5%))</f>
        <v>0.05</v>
      </c>
      <c r="D50" s="81">
        <f>IF(C46&lt;=80, C46*1.1, IF(C46&lt;250, C46*1.075, C46*1.05))</f>
        <v>1289.8425749999999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>
      <c r="A53" s="70" t="s">
        <v>27</v>
      </c>
      <c r="B53" s="71" t="s">
        <v>126</v>
      </c>
      <c r="C53" s="72"/>
      <c r="D53" s="287">
        <v>42298</v>
      </c>
      <c r="E53" s="61"/>
      <c r="F53" s="73"/>
    </row>
    <row r="54" spans="1:6" ht="34.5" customHeight="1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8" zoomScale="60" zoomScaleNormal="40" zoomScalePageLayoutView="50" workbookViewId="0">
      <selection activeCell="C118" sqref="C118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27" t="s">
        <v>43</v>
      </c>
      <c r="B1" s="327"/>
      <c r="C1" s="327"/>
      <c r="D1" s="327"/>
      <c r="E1" s="327"/>
      <c r="F1" s="327"/>
      <c r="G1" s="327"/>
      <c r="H1" s="327"/>
      <c r="I1" s="327"/>
    </row>
    <row r="2" spans="1:9" ht="18.75" customHeight="1">
      <c r="A2" s="327"/>
      <c r="B2" s="327"/>
      <c r="C2" s="327"/>
      <c r="D2" s="327"/>
      <c r="E2" s="327"/>
      <c r="F2" s="327"/>
      <c r="G2" s="327"/>
      <c r="H2" s="327"/>
      <c r="I2" s="327"/>
    </row>
    <row r="3" spans="1:9" ht="18.75" customHeight="1">
      <c r="A3" s="327"/>
      <c r="B3" s="327"/>
      <c r="C3" s="327"/>
      <c r="D3" s="327"/>
      <c r="E3" s="327"/>
      <c r="F3" s="327"/>
      <c r="G3" s="327"/>
      <c r="H3" s="327"/>
      <c r="I3" s="327"/>
    </row>
    <row r="4" spans="1:9" ht="18.75" customHeight="1">
      <c r="A4" s="327"/>
      <c r="B4" s="327"/>
      <c r="C4" s="327"/>
      <c r="D4" s="327"/>
      <c r="E4" s="327"/>
      <c r="F4" s="327"/>
      <c r="G4" s="327"/>
      <c r="H4" s="327"/>
      <c r="I4" s="327"/>
    </row>
    <row r="5" spans="1:9" ht="18.75" customHeight="1">
      <c r="A5" s="327"/>
      <c r="B5" s="327"/>
      <c r="C5" s="327"/>
      <c r="D5" s="327"/>
      <c r="E5" s="327"/>
      <c r="F5" s="327"/>
      <c r="G5" s="327"/>
      <c r="H5" s="327"/>
      <c r="I5" s="327"/>
    </row>
    <row r="6" spans="1:9" ht="18.75" customHeight="1">
      <c r="A6" s="327"/>
      <c r="B6" s="327"/>
      <c r="C6" s="327"/>
      <c r="D6" s="327"/>
      <c r="E6" s="327"/>
      <c r="F6" s="327"/>
      <c r="G6" s="327"/>
      <c r="H6" s="327"/>
      <c r="I6" s="327"/>
    </row>
    <row r="7" spans="1:9" ht="18.75" customHeight="1">
      <c r="A7" s="327"/>
      <c r="B7" s="327"/>
      <c r="C7" s="327"/>
      <c r="D7" s="327"/>
      <c r="E7" s="327"/>
      <c r="F7" s="327"/>
      <c r="G7" s="327"/>
      <c r="H7" s="327"/>
      <c r="I7" s="327"/>
    </row>
    <row r="8" spans="1:9">
      <c r="A8" s="328" t="s">
        <v>44</v>
      </c>
      <c r="B8" s="328"/>
      <c r="C8" s="328"/>
      <c r="D8" s="328"/>
      <c r="E8" s="328"/>
      <c r="F8" s="328"/>
      <c r="G8" s="328"/>
      <c r="H8" s="328"/>
      <c r="I8" s="328"/>
    </row>
    <row r="9" spans="1:9">
      <c r="A9" s="328"/>
      <c r="B9" s="328"/>
      <c r="C9" s="328"/>
      <c r="D9" s="328"/>
      <c r="E9" s="328"/>
      <c r="F9" s="328"/>
      <c r="G9" s="328"/>
      <c r="H9" s="328"/>
      <c r="I9" s="328"/>
    </row>
    <row r="10" spans="1:9">
      <c r="A10" s="328"/>
      <c r="B10" s="328"/>
      <c r="C10" s="328"/>
      <c r="D10" s="328"/>
      <c r="E10" s="328"/>
      <c r="F10" s="328"/>
      <c r="G10" s="328"/>
      <c r="H10" s="328"/>
      <c r="I10" s="328"/>
    </row>
    <row r="11" spans="1:9">
      <c r="A11" s="328"/>
      <c r="B11" s="328"/>
      <c r="C11" s="328"/>
      <c r="D11" s="328"/>
      <c r="E11" s="328"/>
      <c r="F11" s="328"/>
      <c r="G11" s="328"/>
      <c r="H11" s="328"/>
      <c r="I11" s="328"/>
    </row>
    <row r="12" spans="1:9">
      <c r="A12" s="328"/>
      <c r="B12" s="328"/>
      <c r="C12" s="328"/>
      <c r="D12" s="328"/>
      <c r="E12" s="328"/>
      <c r="F12" s="328"/>
      <c r="G12" s="328"/>
      <c r="H12" s="328"/>
      <c r="I12" s="328"/>
    </row>
    <row r="13" spans="1:9">
      <c r="A13" s="328"/>
      <c r="B13" s="328"/>
      <c r="C13" s="328"/>
      <c r="D13" s="328"/>
      <c r="E13" s="328"/>
      <c r="F13" s="328"/>
      <c r="G13" s="328"/>
      <c r="H13" s="328"/>
      <c r="I13" s="328"/>
    </row>
    <row r="14" spans="1:9">
      <c r="A14" s="328"/>
      <c r="B14" s="328"/>
      <c r="C14" s="328"/>
      <c r="D14" s="328"/>
      <c r="E14" s="328"/>
      <c r="F14" s="328"/>
      <c r="G14" s="328"/>
      <c r="H14" s="328"/>
      <c r="I14" s="328"/>
    </row>
    <row r="15" spans="1:9" ht="19.5" customHeight="1">
      <c r="A15" s="98"/>
    </row>
    <row r="16" spans="1:9" ht="19.5" customHeight="1">
      <c r="A16" s="300" t="s">
        <v>29</v>
      </c>
      <c r="B16" s="301"/>
      <c r="C16" s="301"/>
      <c r="D16" s="301"/>
      <c r="E16" s="301"/>
      <c r="F16" s="301"/>
      <c r="G16" s="301"/>
      <c r="H16" s="302"/>
    </row>
    <row r="17" spans="1:14" ht="20.25" customHeight="1">
      <c r="A17" s="303" t="s">
        <v>45</v>
      </c>
      <c r="B17" s="303"/>
      <c r="C17" s="303"/>
      <c r="D17" s="303"/>
      <c r="E17" s="303"/>
      <c r="F17" s="303"/>
      <c r="G17" s="303"/>
      <c r="H17" s="303"/>
    </row>
    <row r="18" spans="1:14" ht="26.25" customHeight="1">
      <c r="A18" s="100" t="s">
        <v>31</v>
      </c>
      <c r="B18" s="299" t="s">
        <v>5</v>
      </c>
      <c r="C18" s="299"/>
      <c r="D18" s="269"/>
      <c r="E18" s="101"/>
      <c r="F18" s="102"/>
      <c r="G18" s="102"/>
      <c r="H18" s="102"/>
    </row>
    <row r="19" spans="1:14" ht="26.25" customHeight="1">
      <c r="A19" s="100" t="s">
        <v>32</v>
      </c>
      <c r="B19" s="103" t="s">
        <v>125</v>
      </c>
      <c r="C19" s="271">
        <v>1</v>
      </c>
      <c r="D19" s="102"/>
      <c r="E19" s="102"/>
      <c r="F19" s="102"/>
      <c r="G19" s="102"/>
      <c r="H19" s="102"/>
    </row>
    <row r="20" spans="1:14" ht="26.25" customHeight="1">
      <c r="A20" s="100" t="s">
        <v>33</v>
      </c>
      <c r="B20" s="304" t="s">
        <v>8</v>
      </c>
      <c r="C20" s="304"/>
      <c r="D20" s="102"/>
      <c r="E20" s="102"/>
      <c r="F20" s="102"/>
      <c r="G20" s="102"/>
      <c r="H20" s="102"/>
    </row>
    <row r="21" spans="1:14" ht="26.25" customHeight="1">
      <c r="A21" s="100" t="s">
        <v>34</v>
      </c>
      <c r="B21" s="304" t="s">
        <v>10</v>
      </c>
      <c r="C21" s="304"/>
      <c r="D21" s="304"/>
      <c r="E21" s="304"/>
      <c r="F21" s="304"/>
      <c r="G21" s="304"/>
      <c r="H21" s="304"/>
      <c r="I21" s="104"/>
    </row>
    <row r="22" spans="1:14" ht="26.25" customHeight="1">
      <c r="A22" s="100" t="s">
        <v>35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36</v>
      </c>
      <c r="B23" s="105">
        <v>42298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299" t="s">
        <v>123</v>
      </c>
      <c r="C26" s="299"/>
    </row>
    <row r="27" spans="1:14" ht="26.25" customHeight="1">
      <c r="A27" s="109" t="s">
        <v>46</v>
      </c>
      <c r="B27" s="305" t="s">
        <v>124</v>
      </c>
      <c r="C27" s="305"/>
    </row>
    <row r="28" spans="1:14" ht="27" customHeight="1">
      <c r="A28" s="109" t="s">
        <v>6</v>
      </c>
      <c r="B28" s="110">
        <v>99.3</v>
      </c>
    </row>
    <row r="29" spans="1:14" s="14" customFormat="1" ht="27" customHeight="1">
      <c r="A29" s="109" t="s">
        <v>47</v>
      </c>
      <c r="B29" s="111">
        <v>0</v>
      </c>
      <c r="C29" s="306" t="s">
        <v>48</v>
      </c>
      <c r="D29" s="307"/>
      <c r="E29" s="307"/>
      <c r="F29" s="307"/>
      <c r="G29" s="308"/>
      <c r="I29" s="112"/>
      <c r="J29" s="112"/>
      <c r="K29" s="112"/>
      <c r="L29" s="112"/>
    </row>
    <row r="30" spans="1:14" s="14" customFormat="1" ht="19.5" customHeight="1">
      <c r="A30" s="109" t="s">
        <v>49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50</v>
      </c>
      <c r="B31" s="116">
        <v>1</v>
      </c>
      <c r="C31" s="309" t="s">
        <v>51</v>
      </c>
      <c r="D31" s="310"/>
      <c r="E31" s="310"/>
      <c r="F31" s="310"/>
      <c r="G31" s="310"/>
      <c r="H31" s="311"/>
      <c r="I31" s="112"/>
      <c r="J31" s="112"/>
      <c r="K31" s="112"/>
      <c r="L31" s="112"/>
    </row>
    <row r="32" spans="1:14" s="14" customFormat="1" ht="27" customHeight="1">
      <c r="A32" s="109" t="s">
        <v>52</v>
      </c>
      <c r="B32" s="116">
        <v>1</v>
      </c>
      <c r="C32" s="309" t="s">
        <v>53</v>
      </c>
      <c r="D32" s="310"/>
      <c r="E32" s="310"/>
      <c r="F32" s="310"/>
      <c r="G32" s="310"/>
      <c r="H32" s="311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56</v>
      </c>
      <c r="B36" s="123">
        <v>10</v>
      </c>
      <c r="C36" s="99"/>
      <c r="D36" s="312" t="s">
        <v>57</v>
      </c>
      <c r="E36" s="313"/>
      <c r="F36" s="312" t="s">
        <v>58</v>
      </c>
      <c r="G36" s="314"/>
      <c r="J36" s="112"/>
      <c r="K36" s="112"/>
      <c r="L36" s="117"/>
      <c r="M36" s="117"/>
      <c r="N36" s="118"/>
    </row>
    <row r="37" spans="1:14" s="14" customFormat="1" ht="27" customHeight="1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64</v>
      </c>
      <c r="B38" s="125">
        <v>25</v>
      </c>
      <c r="C38" s="131">
        <v>1</v>
      </c>
      <c r="D38" s="132">
        <v>113260389</v>
      </c>
      <c r="E38" s="133">
        <f>IF(ISBLANK(D38),"-",$D$48/$D$45*D38)</f>
        <v>125707715.58144337</v>
      </c>
      <c r="F38" s="132">
        <v>109797202</v>
      </c>
      <c r="G38" s="134">
        <f>IF(ISBLANK(F38),"-",$D$48/$F$45*F38)</f>
        <v>126996018.8393795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65</v>
      </c>
      <c r="B39" s="125">
        <v>1</v>
      </c>
      <c r="C39" s="136">
        <v>2</v>
      </c>
      <c r="D39" s="137">
        <v>113702115</v>
      </c>
      <c r="E39" s="138">
        <f>IF(ISBLANK(D39),"-",$D$48/$D$45*D39)</f>
        <v>126197987.30718261</v>
      </c>
      <c r="F39" s="137">
        <v>110266027</v>
      </c>
      <c r="G39" s="139">
        <f>IF(ISBLANK(F39),"-",$D$48/$F$45*F39)</f>
        <v>127538281.36927868</v>
      </c>
      <c r="I39" s="316">
        <f>ABS((F43/D43*D42)-F42)/D42</f>
        <v>9.3530317753128776E-3</v>
      </c>
      <c r="J39" s="112"/>
      <c r="K39" s="112"/>
      <c r="L39" s="117"/>
      <c r="M39" s="117"/>
      <c r="N39" s="118"/>
    </row>
    <row r="40" spans="1:14" ht="26.25" customHeight="1">
      <c r="A40" s="124" t="s">
        <v>66</v>
      </c>
      <c r="B40" s="125">
        <v>1</v>
      </c>
      <c r="C40" s="136">
        <v>3</v>
      </c>
      <c r="D40" s="137">
        <v>113785688</v>
      </c>
      <c r="E40" s="138">
        <f>IF(ISBLANK(D40),"-",$D$48/$D$45*D40)</f>
        <v>126290744.98713626</v>
      </c>
      <c r="F40" s="137">
        <v>110101859</v>
      </c>
      <c r="G40" s="139">
        <f>IF(ISBLANK(F40),"-",$D$48/$F$45*F40)</f>
        <v>127348397.8199618</v>
      </c>
      <c r="I40" s="316"/>
      <c r="L40" s="117"/>
      <c r="M40" s="117"/>
      <c r="N40" s="140"/>
    </row>
    <row r="41" spans="1:14" ht="27" customHeight="1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68</v>
      </c>
      <c r="B42" s="125">
        <v>1</v>
      </c>
      <c r="C42" s="146" t="s">
        <v>69</v>
      </c>
      <c r="D42" s="147">
        <f>AVERAGE(D38:D41)</f>
        <v>113582730.66666667</v>
      </c>
      <c r="E42" s="148">
        <f>AVERAGE(E38:E41)</f>
        <v>126065482.62525408</v>
      </c>
      <c r="F42" s="147">
        <f>AVERAGE(F38:F41)</f>
        <v>110055029.33333333</v>
      </c>
      <c r="G42" s="149">
        <f>AVERAGE(G38:G41)</f>
        <v>127294232.67620666</v>
      </c>
      <c r="H42" s="150"/>
    </row>
    <row r="43" spans="1:14" ht="26.25" customHeight="1">
      <c r="A43" s="124" t="s">
        <v>70</v>
      </c>
      <c r="B43" s="125">
        <v>1</v>
      </c>
      <c r="C43" s="151" t="s">
        <v>71</v>
      </c>
      <c r="D43" s="152">
        <v>27.22</v>
      </c>
      <c r="E43" s="140"/>
      <c r="F43" s="152">
        <v>26.12</v>
      </c>
      <c r="H43" s="150"/>
    </row>
    <row r="44" spans="1:14" ht="26.25" customHeight="1">
      <c r="A44" s="124" t="s">
        <v>72</v>
      </c>
      <c r="B44" s="125">
        <v>1</v>
      </c>
      <c r="C44" s="153" t="s">
        <v>73</v>
      </c>
      <c r="D44" s="154">
        <f>D43*$B$34</f>
        <v>27.22</v>
      </c>
      <c r="E44" s="155"/>
      <c r="F44" s="154">
        <f>F43*$B$34</f>
        <v>26.12</v>
      </c>
      <c r="H44" s="150"/>
    </row>
    <row r="45" spans="1:14" ht="19.5" customHeight="1">
      <c r="A45" s="124" t="s">
        <v>74</v>
      </c>
      <c r="B45" s="156">
        <f>(B44/B43)*(B42/B41)*(B40/B39)*(B38/B37)*B36</f>
        <v>250</v>
      </c>
      <c r="C45" s="153" t="s">
        <v>75</v>
      </c>
      <c r="D45" s="157">
        <f>D44*$B$30/100</f>
        <v>27.02946</v>
      </c>
      <c r="E45" s="158"/>
      <c r="F45" s="157">
        <f>F44*$B$30/100</f>
        <v>25.937159999999999</v>
      </c>
      <c r="H45" s="150"/>
    </row>
    <row r="46" spans="1:14" ht="19.5" customHeight="1">
      <c r="A46" s="317" t="s">
        <v>76</v>
      </c>
      <c r="B46" s="318"/>
      <c r="C46" s="153" t="s">
        <v>77</v>
      </c>
      <c r="D46" s="159">
        <f>D45/$B$45</f>
        <v>0.10811784000000001</v>
      </c>
      <c r="E46" s="160"/>
      <c r="F46" s="161">
        <f>F45/$B$45</f>
        <v>0.10374863999999999</v>
      </c>
      <c r="H46" s="150"/>
    </row>
    <row r="47" spans="1:14" ht="27" customHeight="1">
      <c r="A47" s="319"/>
      <c r="B47" s="320"/>
      <c r="C47" s="162" t="s">
        <v>78</v>
      </c>
      <c r="D47" s="163">
        <v>0.12</v>
      </c>
      <c r="E47" s="164"/>
      <c r="F47" s="160"/>
      <c r="H47" s="150"/>
    </row>
    <row r="48" spans="1:14" ht="18.75">
      <c r="C48" s="165" t="s">
        <v>79</v>
      </c>
      <c r="D48" s="157">
        <f>D47*$B$45</f>
        <v>30</v>
      </c>
      <c r="F48" s="166"/>
      <c r="H48" s="150"/>
    </row>
    <row r="49" spans="1:12" ht="19.5" customHeight="1">
      <c r="C49" s="167" t="s">
        <v>80</v>
      </c>
      <c r="D49" s="168">
        <f>D48/B34</f>
        <v>30</v>
      </c>
      <c r="F49" s="166"/>
      <c r="H49" s="150"/>
    </row>
    <row r="50" spans="1:12" ht="18.75">
      <c r="C50" s="122" t="s">
        <v>81</v>
      </c>
      <c r="D50" s="169">
        <f>AVERAGE(E38:E41,G38:G41)</f>
        <v>126679857.65073037</v>
      </c>
      <c r="F50" s="170"/>
      <c r="H50" s="150"/>
    </row>
    <row r="51" spans="1:12" ht="18.75">
      <c r="C51" s="124" t="s">
        <v>82</v>
      </c>
      <c r="D51" s="171">
        <f>STDEV(E38:E41,G38:G41)/D50</f>
        <v>5.7060097303235999E-3</v>
      </c>
      <c r="F51" s="170"/>
      <c r="H51" s="150"/>
    </row>
    <row r="52" spans="1:12" ht="19.5" customHeight="1">
      <c r="C52" s="172" t="s">
        <v>18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83</v>
      </c>
    </row>
    <row r="55" spans="1:12" ht="18.75">
      <c r="A55" s="99" t="s">
        <v>84</v>
      </c>
      <c r="B55" s="176" t="str">
        <f>B21</f>
        <v>Each film-coated tablet contains Efavirenz 600mg</v>
      </c>
    </row>
    <row r="56" spans="1:12" ht="26.25" customHeight="1">
      <c r="A56" s="177" t="s">
        <v>85</v>
      </c>
      <c r="B56" s="178">
        <v>600</v>
      </c>
      <c r="C56" s="99" t="str">
        <f>B20</f>
        <v>EFAVIRENZ</v>
      </c>
      <c r="H56" s="179"/>
    </row>
    <row r="57" spans="1:12" ht="18.75">
      <c r="A57" s="176" t="s">
        <v>86</v>
      </c>
      <c r="B57" s="270">
        <f>Uniformity!C46</f>
        <v>1228.4214999999999</v>
      </c>
      <c r="H57" s="179"/>
    </row>
    <row r="58" spans="1:12" ht="19.5" customHeight="1">
      <c r="H58" s="179"/>
    </row>
    <row r="59" spans="1:12" s="14" customFormat="1" ht="27" customHeight="1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>
      <c r="A60" s="124" t="s">
        <v>91</v>
      </c>
      <c r="B60" s="125">
        <v>5</v>
      </c>
      <c r="C60" s="321" t="s">
        <v>92</v>
      </c>
      <c r="D60" s="324">
        <v>1240.02</v>
      </c>
      <c r="E60" s="182">
        <v>1</v>
      </c>
      <c r="F60" s="183">
        <v>128386148</v>
      </c>
      <c r="G60" s="272">
        <f>IF(ISBLANK(F60),"-",(F60/$D$50*$D$47*$B$68)*($B$57/$D$60))</f>
        <v>602.39390851568078</v>
      </c>
      <c r="H60" s="184">
        <f>IF(ISBLANK(F60),"-",G60/$B$56)</f>
        <v>1.0039898475261346</v>
      </c>
      <c r="L60" s="112"/>
    </row>
    <row r="61" spans="1:12" s="14" customFormat="1" ht="26.25" customHeight="1">
      <c r="A61" s="124" t="s">
        <v>93</v>
      </c>
      <c r="B61" s="125">
        <v>250</v>
      </c>
      <c r="C61" s="322"/>
      <c r="D61" s="325"/>
      <c r="E61" s="185">
        <v>2</v>
      </c>
      <c r="F61" s="137">
        <v>129621886</v>
      </c>
      <c r="G61" s="273">
        <f>IF(ISBLANK(F61),"-",(F61/$D$50*$D$47*$B$68)*($B$57/$D$60))</f>
        <v>608.19204994540382</v>
      </c>
      <c r="H61" s="186">
        <f t="shared" ref="H61:H71" si="0">IF(ISBLANK(F61),"-",G61/$B$56)</f>
        <v>1.013653416575673</v>
      </c>
      <c r="L61" s="112"/>
    </row>
    <row r="62" spans="1:12" s="14" customFormat="1" ht="26.25" customHeight="1">
      <c r="A62" s="124" t="s">
        <v>94</v>
      </c>
      <c r="B62" s="125">
        <v>1</v>
      </c>
      <c r="C62" s="322"/>
      <c r="D62" s="325"/>
      <c r="E62" s="185">
        <v>3</v>
      </c>
      <c r="F62" s="187">
        <v>130155686</v>
      </c>
      <c r="G62" s="273">
        <f>IF(ISBLANK(F62),"-",(F62/$D$50*$D$47*$B$68)*($B$57/$D$60))</f>
        <v>610.6966649165272</v>
      </c>
      <c r="H62" s="186">
        <f t="shared" si="0"/>
        <v>1.0178277748608786</v>
      </c>
      <c r="L62" s="112"/>
    </row>
    <row r="63" spans="1:12" ht="27" customHeight="1">
      <c r="A63" s="124" t="s">
        <v>95</v>
      </c>
      <c r="B63" s="125">
        <v>1</v>
      </c>
      <c r="C63" s="323"/>
      <c r="D63" s="326"/>
      <c r="E63" s="188">
        <v>4</v>
      </c>
      <c r="F63" s="189"/>
      <c r="G63" s="273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96</v>
      </c>
      <c r="B64" s="125">
        <v>1</v>
      </c>
      <c r="C64" s="321" t="s">
        <v>97</v>
      </c>
      <c r="D64" s="324">
        <v>1237.71</v>
      </c>
      <c r="E64" s="182">
        <v>1</v>
      </c>
      <c r="F64" s="183">
        <v>129938258</v>
      </c>
      <c r="G64" s="274">
        <f>IF(ISBLANK(F64),"-",(F64/$D$50*$D$47*$B$68)*($B$57/$D$64))</f>
        <v>610.81435208045627</v>
      </c>
      <c r="H64" s="190">
        <f>IF(ISBLANK(F64),"-",G64/$B$56)</f>
        <v>1.0180239201340937</v>
      </c>
    </row>
    <row r="65" spans="1:8" ht="26.25" customHeight="1">
      <c r="A65" s="124" t="s">
        <v>98</v>
      </c>
      <c r="B65" s="125">
        <v>1</v>
      </c>
      <c r="C65" s="322"/>
      <c r="D65" s="325"/>
      <c r="E65" s="185">
        <v>2</v>
      </c>
      <c r="F65" s="137">
        <v>130764817</v>
      </c>
      <c r="G65" s="275">
        <f>IF(ISBLANK(F65),"-",(F65/$D$50*$D$47*$B$68)*($B$57/$D$64))</f>
        <v>614.69984437358266</v>
      </c>
      <c r="H65" s="191">
        <f t="shared" si="0"/>
        <v>1.0244997406226377</v>
      </c>
    </row>
    <row r="66" spans="1:8" ht="26.25" customHeight="1">
      <c r="A66" s="124" t="s">
        <v>99</v>
      </c>
      <c r="B66" s="125">
        <v>1</v>
      </c>
      <c r="C66" s="322"/>
      <c r="D66" s="325"/>
      <c r="E66" s="185">
        <v>3</v>
      </c>
      <c r="F66" s="137">
        <v>130978553</v>
      </c>
      <c r="G66" s="275">
        <f>IF(ISBLANK(F66),"-",(F66/$D$50*$D$47*$B$68)*($B$57/$D$64))</f>
        <v>615.70457553102426</v>
      </c>
      <c r="H66" s="191">
        <f t="shared" si="0"/>
        <v>1.026174292551707</v>
      </c>
    </row>
    <row r="67" spans="1:8" ht="27" customHeight="1">
      <c r="A67" s="124" t="s">
        <v>100</v>
      </c>
      <c r="B67" s="125">
        <v>1</v>
      </c>
      <c r="C67" s="323"/>
      <c r="D67" s="326"/>
      <c r="E67" s="188">
        <v>4</v>
      </c>
      <c r="F67" s="189"/>
      <c r="G67" s="276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101</v>
      </c>
      <c r="B68" s="193">
        <f>(B67/B66)*(B65/B64)*(B63/B62)*(B61/B60)*B59</f>
        <v>5000</v>
      </c>
      <c r="C68" s="321" t="s">
        <v>102</v>
      </c>
      <c r="D68" s="324">
        <v>1245.19</v>
      </c>
      <c r="E68" s="182">
        <v>1</v>
      </c>
      <c r="F68" s="183">
        <v>127692272</v>
      </c>
      <c r="G68" s="274">
        <f>IF(ISBLANK(F68),"-",(F68/$D$50*$D$47*$B$68)*($B$57/$D$68))</f>
        <v>596.65060139502566</v>
      </c>
      <c r="H68" s="186">
        <f>IF(ISBLANK(F68),"-",G68/$B$56)</f>
        <v>0.99441766899170947</v>
      </c>
    </row>
    <row r="69" spans="1:8" ht="27" customHeight="1">
      <c r="A69" s="172" t="s">
        <v>103</v>
      </c>
      <c r="B69" s="194">
        <f>(D47*B68)/B56*B57</f>
        <v>1228.4214999999999</v>
      </c>
      <c r="C69" s="322"/>
      <c r="D69" s="325"/>
      <c r="E69" s="185">
        <v>2</v>
      </c>
      <c r="F69" s="137">
        <v>133790242</v>
      </c>
      <c r="G69" s="275">
        <f>IF(ISBLANK(F69),"-",(F69/$D$50*$D$47*$B$68)*($B$57/$D$68))</f>
        <v>625.14377025170347</v>
      </c>
      <c r="H69" s="186">
        <f t="shared" si="0"/>
        <v>1.0419062837528392</v>
      </c>
    </row>
    <row r="70" spans="1:8" ht="26.25" customHeight="1">
      <c r="A70" s="334" t="s">
        <v>76</v>
      </c>
      <c r="B70" s="335"/>
      <c r="C70" s="322"/>
      <c r="D70" s="325"/>
      <c r="E70" s="185">
        <v>3</v>
      </c>
      <c r="F70" s="137">
        <v>129743619</v>
      </c>
      <c r="G70" s="275">
        <f>IF(ISBLANK(F70),"-",(F70/$D$50*$D$47*$B$68)*($B$57/$D$68))</f>
        <v>606.23565616811231</v>
      </c>
      <c r="H70" s="186">
        <f t="shared" si="0"/>
        <v>1.0103927602801872</v>
      </c>
    </row>
    <row r="71" spans="1:8" ht="27" customHeight="1">
      <c r="A71" s="336"/>
      <c r="B71" s="337"/>
      <c r="C71" s="333"/>
      <c r="D71" s="326"/>
      <c r="E71" s="188">
        <v>4</v>
      </c>
      <c r="F71" s="189"/>
      <c r="G71" s="276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69</v>
      </c>
      <c r="H72" s="199">
        <f>AVERAGE(H60:H71)</f>
        <v>1.0167650783662066</v>
      </c>
    </row>
    <row r="73" spans="1:8" ht="26.25" customHeight="1">
      <c r="C73" s="196"/>
      <c r="D73" s="196"/>
      <c r="E73" s="196"/>
      <c r="F73" s="197"/>
      <c r="G73" s="200" t="s">
        <v>82</v>
      </c>
      <c r="H73" s="277">
        <f>STDEV(H60:H71)/H72</f>
        <v>1.3449561077308146E-2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18</v>
      </c>
      <c r="H74" s="203">
        <f>COUNT(H60:H71)</f>
        <v>9</v>
      </c>
    </row>
    <row r="76" spans="1:8" ht="26.25" customHeight="1">
      <c r="A76" s="108" t="s">
        <v>104</v>
      </c>
      <c r="B76" s="204" t="s">
        <v>105</v>
      </c>
      <c r="C76" s="329" t="str">
        <f>B20</f>
        <v>EFAVIRENZ</v>
      </c>
      <c r="D76" s="329"/>
      <c r="E76" s="205" t="s">
        <v>106</v>
      </c>
      <c r="F76" s="205"/>
      <c r="G76" s="206">
        <f>H72</f>
        <v>1.0167650783662066</v>
      </c>
      <c r="H76" s="207"/>
    </row>
    <row r="77" spans="1:8" ht="18.75">
      <c r="A77" s="107" t="s">
        <v>107</v>
      </c>
      <c r="B77" s="107" t="s">
        <v>108</v>
      </c>
    </row>
    <row r="78" spans="1:8" ht="18.75">
      <c r="A78" s="107"/>
      <c r="B78" s="107"/>
    </row>
    <row r="79" spans="1:8" ht="26.25" customHeight="1">
      <c r="A79" s="108" t="s">
        <v>4</v>
      </c>
      <c r="B79" s="315" t="str">
        <f>B26</f>
        <v>Efavirenz</v>
      </c>
      <c r="C79" s="315"/>
    </row>
    <row r="80" spans="1:8" ht="26.25" customHeight="1">
      <c r="A80" s="109" t="s">
        <v>46</v>
      </c>
      <c r="B80" s="315" t="str">
        <f>B27</f>
        <v>E15 3</v>
      </c>
      <c r="C80" s="315"/>
    </row>
    <row r="81" spans="1:12" ht="27" customHeight="1">
      <c r="A81" s="109" t="s">
        <v>6</v>
      </c>
      <c r="B81" s="208">
        <f>B28</f>
        <v>99.3</v>
      </c>
    </row>
    <row r="82" spans="1:12" s="14" customFormat="1" ht="27" customHeight="1">
      <c r="A82" s="109" t="s">
        <v>47</v>
      </c>
      <c r="B82" s="111">
        <v>0</v>
      </c>
      <c r="C82" s="306" t="s">
        <v>48</v>
      </c>
      <c r="D82" s="307"/>
      <c r="E82" s="307"/>
      <c r="F82" s="307"/>
      <c r="G82" s="308"/>
      <c r="I82" s="112"/>
      <c r="J82" s="112"/>
      <c r="K82" s="112"/>
      <c r="L82" s="112"/>
    </row>
    <row r="83" spans="1:12" s="14" customFormat="1" ht="19.5" customHeight="1">
      <c r="A83" s="109" t="s">
        <v>49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50</v>
      </c>
      <c r="B84" s="116">
        <v>1</v>
      </c>
      <c r="C84" s="309" t="s">
        <v>109</v>
      </c>
      <c r="D84" s="310"/>
      <c r="E84" s="310"/>
      <c r="F84" s="310"/>
      <c r="G84" s="310"/>
      <c r="H84" s="311"/>
      <c r="I84" s="112"/>
      <c r="J84" s="112"/>
      <c r="K84" s="112"/>
      <c r="L84" s="112"/>
    </row>
    <row r="85" spans="1:12" s="14" customFormat="1" ht="27" customHeight="1">
      <c r="A85" s="109" t="s">
        <v>52</v>
      </c>
      <c r="B85" s="116">
        <v>1</v>
      </c>
      <c r="C85" s="309" t="s">
        <v>110</v>
      </c>
      <c r="D85" s="310"/>
      <c r="E85" s="310"/>
      <c r="F85" s="310"/>
      <c r="G85" s="310"/>
      <c r="H85" s="311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56</v>
      </c>
      <c r="B89" s="123">
        <v>10</v>
      </c>
      <c r="D89" s="209" t="s">
        <v>57</v>
      </c>
      <c r="E89" s="210"/>
      <c r="F89" s="312" t="s">
        <v>58</v>
      </c>
      <c r="G89" s="314"/>
    </row>
    <row r="90" spans="1:12" ht="27" customHeight="1">
      <c r="A90" s="124" t="s">
        <v>59</v>
      </c>
      <c r="B90" s="125">
        <v>4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>
      <c r="A91" s="124" t="s">
        <v>64</v>
      </c>
      <c r="B91" s="125">
        <v>25</v>
      </c>
      <c r="C91" s="213">
        <v>1</v>
      </c>
      <c r="D91" s="282">
        <v>243003699</v>
      </c>
      <c r="E91" s="133">
        <f>IF(ISBLANK(D91),"-",$D$101/$D$98*D91)</f>
        <v>337137283.26426053</v>
      </c>
      <c r="F91" s="282">
        <v>236805094</v>
      </c>
      <c r="G91" s="134">
        <f>IF(ISBLANK(F91),"-",$D$101/$F$98*F91)</f>
        <v>342373298.58010668</v>
      </c>
      <c r="I91" s="135"/>
    </row>
    <row r="92" spans="1:12" ht="26.25" customHeight="1">
      <c r="A92" s="124" t="s">
        <v>65</v>
      </c>
      <c r="B92" s="125">
        <v>1</v>
      </c>
      <c r="C92" s="197">
        <v>2</v>
      </c>
      <c r="D92" s="283">
        <v>243426560</v>
      </c>
      <c r="E92" s="138">
        <f>IF(ISBLANK(D92),"-",$D$101/$D$98*D92)</f>
        <v>337723950.09001291</v>
      </c>
      <c r="F92" s="283">
        <v>236123379</v>
      </c>
      <c r="G92" s="139">
        <f>IF(ISBLANK(F92),"-",$D$101/$F$98*F92)</f>
        <v>341387673.61191434</v>
      </c>
      <c r="I92" s="316">
        <f>ABS((F96/D96*D95)-F95)/D95</f>
        <v>1.1523590699990219E-2</v>
      </c>
    </row>
    <row r="93" spans="1:12" ht="26.25" customHeight="1">
      <c r="A93" s="124" t="s">
        <v>66</v>
      </c>
      <c r="B93" s="125">
        <v>1</v>
      </c>
      <c r="C93" s="197">
        <v>3</v>
      </c>
      <c r="D93" s="283">
        <v>243673862</v>
      </c>
      <c r="E93" s="138">
        <f>IF(ISBLANK(D93),"-",$D$101/$D$98*D93)</f>
        <v>338067050.72909337</v>
      </c>
      <c r="F93" s="283">
        <v>236084494</v>
      </c>
      <c r="G93" s="139">
        <f>IF(ISBLANK(F93),"-",$D$101/$F$98*F93)</f>
        <v>341331453.59784961</v>
      </c>
      <c r="I93" s="316"/>
    </row>
    <row r="94" spans="1:12" ht="27" customHeight="1">
      <c r="A94" s="124" t="s">
        <v>67</v>
      </c>
      <c r="B94" s="125">
        <v>1</v>
      </c>
      <c r="C94" s="214">
        <v>4</v>
      </c>
      <c r="D94" s="284"/>
      <c r="E94" s="143" t="str">
        <f>IF(ISBLANK(D94),"-",$D$101/$D$98*D94)</f>
        <v>-</v>
      </c>
      <c r="F94" s="285"/>
      <c r="G94" s="144" t="str">
        <f>IF(ISBLANK(F94),"-",$D$101/$F$98*F94)</f>
        <v>-</v>
      </c>
      <c r="I94" s="145"/>
    </row>
    <row r="95" spans="1:12" ht="27" customHeight="1">
      <c r="A95" s="124" t="s">
        <v>68</v>
      </c>
      <c r="B95" s="125">
        <v>1</v>
      </c>
      <c r="C95" s="215" t="s">
        <v>69</v>
      </c>
      <c r="D95" s="216">
        <f>AVERAGE(D91:D94)</f>
        <v>243368040.33333334</v>
      </c>
      <c r="E95" s="148">
        <f>AVERAGE(E91:E94)</f>
        <v>337642761.36112231</v>
      </c>
      <c r="F95" s="217">
        <f>AVERAGE(F91:F94)</f>
        <v>236337655.66666666</v>
      </c>
      <c r="G95" s="218">
        <f>AVERAGE(G91:G94)</f>
        <v>341697475.26329023</v>
      </c>
    </row>
    <row r="96" spans="1:12" ht="26.25" customHeight="1">
      <c r="A96" s="124" t="s">
        <v>70</v>
      </c>
      <c r="B96" s="110">
        <v>1</v>
      </c>
      <c r="C96" s="219" t="s">
        <v>111</v>
      </c>
      <c r="D96" s="220">
        <v>27.22</v>
      </c>
      <c r="E96" s="140"/>
      <c r="F96" s="152">
        <v>26.12</v>
      </c>
    </row>
    <row r="97" spans="1:10" ht="26.25" customHeight="1">
      <c r="A97" s="124" t="s">
        <v>72</v>
      </c>
      <c r="B97" s="110">
        <v>1</v>
      </c>
      <c r="C97" s="221" t="s">
        <v>112</v>
      </c>
      <c r="D97" s="222">
        <f>D96*$B$87</f>
        <v>27.22</v>
      </c>
      <c r="E97" s="155"/>
      <c r="F97" s="154">
        <f>F96*$B$87</f>
        <v>26.12</v>
      </c>
    </row>
    <row r="98" spans="1:10" ht="19.5" customHeight="1">
      <c r="A98" s="124" t="s">
        <v>74</v>
      </c>
      <c r="B98" s="223">
        <f>(B97/B96)*(B95/B94)*(B93/B92)*(B91/B90)*B89</f>
        <v>62.5</v>
      </c>
      <c r="C98" s="221" t="s">
        <v>113</v>
      </c>
      <c r="D98" s="224">
        <f>D97*$B$83/100</f>
        <v>27.02946</v>
      </c>
      <c r="E98" s="158"/>
      <c r="F98" s="157">
        <f>F97*$B$83/100</f>
        <v>25.937159999999999</v>
      </c>
    </row>
    <row r="99" spans="1:10" ht="19.5" customHeight="1">
      <c r="A99" s="317" t="s">
        <v>76</v>
      </c>
      <c r="B99" s="331"/>
      <c r="C99" s="221" t="s">
        <v>114</v>
      </c>
      <c r="D99" s="225">
        <f>D98/$B$98</f>
        <v>0.43247136000000003</v>
      </c>
      <c r="E99" s="158"/>
      <c r="F99" s="161">
        <f>F98/$B$98</f>
        <v>0.41499455999999996</v>
      </c>
      <c r="G99" s="226"/>
      <c r="H99" s="150"/>
    </row>
    <row r="100" spans="1:10" ht="19.5" customHeight="1">
      <c r="A100" s="319"/>
      <c r="B100" s="332"/>
      <c r="C100" s="221" t="s">
        <v>78</v>
      </c>
      <c r="D100" s="227">
        <f>$B$56/$B$116</f>
        <v>0.6</v>
      </c>
      <c r="F100" s="166"/>
      <c r="G100" s="228"/>
      <c r="H100" s="150"/>
    </row>
    <row r="101" spans="1:10" ht="18.75">
      <c r="C101" s="221" t="s">
        <v>79</v>
      </c>
      <c r="D101" s="222">
        <f>D100*$B$98</f>
        <v>37.5</v>
      </c>
      <c r="F101" s="166"/>
      <c r="G101" s="226"/>
      <c r="H101" s="150"/>
    </row>
    <row r="102" spans="1:10" ht="19.5" customHeight="1">
      <c r="C102" s="229" t="s">
        <v>80</v>
      </c>
      <c r="D102" s="230">
        <f>D101/B34</f>
        <v>37.5</v>
      </c>
      <c r="F102" s="170"/>
      <c r="G102" s="226"/>
      <c r="H102" s="150"/>
      <c r="J102" s="231"/>
    </row>
    <row r="103" spans="1:10" ht="18.75">
      <c r="C103" s="232" t="s">
        <v>115</v>
      </c>
      <c r="D103" s="233">
        <f>AVERAGE(E91:E94,G91:G94)</f>
        <v>339670118.31220627</v>
      </c>
      <c r="F103" s="170"/>
      <c r="G103" s="234"/>
      <c r="H103" s="150"/>
      <c r="J103" s="235"/>
    </row>
    <row r="104" spans="1:10" ht="18.75">
      <c r="C104" s="200" t="s">
        <v>82</v>
      </c>
      <c r="D104" s="236">
        <f>STDEV(E91:E94,G91:G94)/D103</f>
        <v>6.6862434513834841E-3</v>
      </c>
      <c r="F104" s="170"/>
      <c r="G104" s="226"/>
      <c r="H104" s="150"/>
      <c r="J104" s="235"/>
    </row>
    <row r="105" spans="1:10" ht="19.5" customHeight="1">
      <c r="C105" s="202" t="s">
        <v>18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116</v>
      </c>
      <c r="B107" s="123">
        <v>1000</v>
      </c>
      <c r="C107" s="238" t="s">
        <v>117</v>
      </c>
      <c r="D107" s="239" t="s">
        <v>61</v>
      </c>
      <c r="E107" s="240" t="s">
        <v>118</v>
      </c>
      <c r="F107" s="241" t="s">
        <v>119</v>
      </c>
    </row>
    <row r="108" spans="1:10" ht="26.25" customHeight="1">
      <c r="A108" s="124" t="s">
        <v>120</v>
      </c>
      <c r="B108" s="125">
        <v>1</v>
      </c>
      <c r="C108" s="242">
        <v>1</v>
      </c>
      <c r="D108" s="243">
        <v>306717569</v>
      </c>
      <c r="E108" s="278">
        <f t="shared" ref="E108:E113" si="1">IF(ISBLANK(D108),"-",D108/$D$103*$D$100*$B$116)</f>
        <v>541.7919666128804</v>
      </c>
      <c r="F108" s="244">
        <f>IF(ISBLANK(D108), "-", E108/$B$56)</f>
        <v>0.90298661102146738</v>
      </c>
    </row>
    <row r="109" spans="1:10" ht="26.25" customHeight="1">
      <c r="A109" s="124" t="s">
        <v>93</v>
      </c>
      <c r="B109" s="125">
        <v>1</v>
      </c>
      <c r="C109" s="242">
        <v>2</v>
      </c>
      <c r="D109" s="243">
        <v>308698613</v>
      </c>
      <c r="E109" s="279">
        <f t="shared" si="1"/>
        <v>545.29132182818807</v>
      </c>
      <c r="F109" s="245">
        <f t="shared" ref="F109:F113" si="2">IF(ISBLANK(D109), "-", E109/$B$56)</f>
        <v>0.90881886971364678</v>
      </c>
    </row>
    <row r="110" spans="1:10" ht="26.25" customHeight="1">
      <c r="A110" s="124" t="s">
        <v>94</v>
      </c>
      <c r="B110" s="125">
        <v>1</v>
      </c>
      <c r="C110" s="242">
        <v>3</v>
      </c>
      <c r="D110" s="243">
        <v>304970034</v>
      </c>
      <c r="E110" s="279">
        <f t="shared" si="1"/>
        <v>538.70508630321399</v>
      </c>
      <c r="F110" s="245">
        <f>IF(ISBLANK(D110), "-", E110/$B$56)</f>
        <v>0.89784181050535661</v>
      </c>
    </row>
    <row r="111" spans="1:10" ht="26.25" customHeight="1">
      <c r="A111" s="124" t="s">
        <v>95</v>
      </c>
      <c r="B111" s="125">
        <v>1</v>
      </c>
      <c r="C111" s="242">
        <v>4</v>
      </c>
      <c r="D111" s="243">
        <v>305395067</v>
      </c>
      <c r="E111" s="279">
        <f t="shared" si="1"/>
        <v>539.45587298196915</v>
      </c>
      <c r="F111" s="245">
        <f t="shared" si="2"/>
        <v>0.89909312163661526</v>
      </c>
    </row>
    <row r="112" spans="1:10" ht="26.25" customHeight="1">
      <c r="A112" s="124" t="s">
        <v>96</v>
      </c>
      <c r="B112" s="125">
        <v>1</v>
      </c>
      <c r="C112" s="242">
        <v>5</v>
      </c>
      <c r="D112" s="243">
        <v>311215253</v>
      </c>
      <c r="E112" s="279">
        <f t="shared" si="1"/>
        <v>549.73676438728921</v>
      </c>
      <c r="F112" s="245">
        <f>IF(ISBLANK(D112), "-", E112/$B$56)</f>
        <v>0.91622794064548208</v>
      </c>
    </row>
    <row r="113" spans="1:10" ht="26.25" customHeight="1">
      <c r="A113" s="124" t="s">
        <v>98</v>
      </c>
      <c r="B113" s="125">
        <v>1</v>
      </c>
      <c r="C113" s="246">
        <v>6</v>
      </c>
      <c r="D113" s="247">
        <v>310614416</v>
      </c>
      <c r="E113" s="280">
        <f t="shared" si="1"/>
        <v>548.67543405363699</v>
      </c>
      <c r="F113" s="248">
        <f t="shared" si="2"/>
        <v>0.91445905675606165</v>
      </c>
    </row>
    <row r="114" spans="1:10" ht="26.25" customHeight="1">
      <c r="A114" s="124" t="s">
        <v>99</v>
      </c>
      <c r="B114" s="125">
        <v>1</v>
      </c>
      <c r="C114" s="242"/>
      <c r="D114" s="197"/>
      <c r="E114" s="98"/>
      <c r="F114" s="249"/>
    </row>
    <row r="115" spans="1:10" ht="26.25" customHeight="1">
      <c r="A115" s="124" t="s">
        <v>100</v>
      </c>
      <c r="B115" s="125">
        <v>1</v>
      </c>
      <c r="C115" s="242"/>
      <c r="D115" s="250"/>
      <c r="E115" s="251" t="s">
        <v>69</v>
      </c>
      <c r="F115" s="252">
        <f>AVERAGE(F108:F113)</f>
        <v>0.90657123504643833</v>
      </c>
    </row>
    <row r="116" spans="1:10" ht="27" customHeight="1">
      <c r="A116" s="124" t="s">
        <v>101</v>
      </c>
      <c r="B116" s="156">
        <f>(B115/B114)*(B113/B112)*(B111/B110)*(B109/B108)*B107</f>
        <v>1000</v>
      </c>
      <c r="C116" s="253"/>
      <c r="D116" s="254"/>
      <c r="E116" s="215" t="s">
        <v>82</v>
      </c>
      <c r="F116" s="255">
        <f>STDEV(F108:F113)/F115</f>
        <v>8.6221566900423936E-3</v>
      </c>
      <c r="I116" s="98"/>
    </row>
    <row r="117" spans="1:10" ht="27" customHeight="1">
      <c r="A117" s="317" t="s">
        <v>76</v>
      </c>
      <c r="B117" s="318"/>
      <c r="C117" s="256"/>
      <c r="D117" s="257"/>
      <c r="E117" s="258" t="s">
        <v>18</v>
      </c>
      <c r="F117" s="259">
        <f>COUNT(F108:F113)</f>
        <v>6</v>
      </c>
      <c r="I117" s="98"/>
      <c r="J117" s="235"/>
    </row>
    <row r="118" spans="1:10" ht="19.5" customHeight="1">
      <c r="A118" s="319"/>
      <c r="B118" s="320"/>
      <c r="C118" s="98"/>
      <c r="D118" s="98"/>
      <c r="E118" s="98"/>
      <c r="F118" s="197"/>
      <c r="G118" s="98"/>
      <c r="H118" s="98"/>
      <c r="I118" s="98"/>
    </row>
    <row r="119" spans="1:10" ht="18.75">
      <c r="A119" s="268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104</v>
      </c>
      <c r="B120" s="204" t="s">
        <v>121</v>
      </c>
      <c r="C120" s="329" t="str">
        <f>B20</f>
        <v>EFAVIRENZ</v>
      </c>
      <c r="D120" s="329"/>
      <c r="E120" s="205" t="s">
        <v>122</v>
      </c>
      <c r="F120" s="205"/>
      <c r="G120" s="206">
        <f>F115</f>
        <v>0.90657123504643833</v>
      </c>
      <c r="H120" s="98"/>
      <c r="I120" s="98"/>
    </row>
    <row r="121" spans="1:10" ht="19.5" customHeight="1">
      <c r="A121" s="260"/>
      <c r="B121" s="260"/>
      <c r="C121" s="261"/>
      <c r="D121" s="261"/>
      <c r="E121" s="261"/>
      <c r="F121" s="261"/>
      <c r="G121" s="261"/>
      <c r="H121" s="261"/>
    </row>
    <row r="122" spans="1:10" ht="18.75">
      <c r="B122" s="330" t="s">
        <v>24</v>
      </c>
      <c r="C122" s="330"/>
      <c r="E122" s="211" t="s">
        <v>25</v>
      </c>
      <c r="F122" s="262"/>
      <c r="G122" s="330" t="s">
        <v>26</v>
      </c>
      <c r="H122" s="330"/>
    </row>
    <row r="123" spans="1:10" ht="69.95" customHeight="1">
      <c r="A123" s="263" t="s">
        <v>27</v>
      </c>
      <c r="B123" s="264" t="s">
        <v>126</v>
      </c>
      <c r="C123" s="264"/>
      <c r="E123" s="288">
        <v>42298</v>
      </c>
      <c r="F123" s="98"/>
      <c r="G123" s="265"/>
      <c r="H123" s="265"/>
    </row>
    <row r="124" spans="1:10" ht="69.95" customHeight="1">
      <c r="A124" s="263" t="s">
        <v>28</v>
      </c>
      <c r="B124" s="266"/>
      <c r="C124" s="266"/>
      <c r="E124" s="266"/>
      <c r="F124" s="98"/>
      <c r="G124" s="267"/>
      <c r="H124" s="267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2015-11-24T10:19:49Z</cp:lastPrinted>
  <dcterms:created xsi:type="dcterms:W3CDTF">2005-07-05T10:19:27Z</dcterms:created>
  <dcterms:modified xsi:type="dcterms:W3CDTF">2015-11-24T10:27:39Z</dcterms:modified>
</cp:coreProperties>
</file>