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3" r:id="rId2"/>
    <sheet name="Nevirapine USP" sheetId="4" r:id="rId3"/>
  </sheets>
  <definedNames>
    <definedName name="_xlnm.Print_Area" localSheetId="2">'Nevirapine USP'!$A$1:$I$124</definedName>
    <definedName name="_xlnm.Print_Area" localSheetId="0">SST!$A$15:$G$64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80" i="4" l="1"/>
  <c r="C120" i="4"/>
  <c r="B116" i="4"/>
  <c r="D100" i="4" s="1"/>
  <c r="B98" i="4"/>
  <c r="F95" i="4"/>
  <c r="D95" i="4"/>
  <c r="B87" i="4"/>
  <c r="F97" i="4" s="1"/>
  <c r="B81" i="4"/>
  <c r="B83" i="4" s="1"/>
  <c r="B79" i="4"/>
  <c r="C76" i="4"/>
  <c r="B68" i="4"/>
  <c r="C56" i="4"/>
  <c r="B55" i="4"/>
  <c r="B45" i="4"/>
  <c r="D48" i="4" s="1"/>
  <c r="F42" i="4"/>
  <c r="D42" i="4"/>
  <c r="B34" i="4"/>
  <c r="D44" i="4" s="1"/>
  <c r="D45" i="4" s="1"/>
  <c r="C46" i="3"/>
  <c r="C45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4" l="1"/>
  <c r="D50" i="3"/>
  <c r="D24" i="3"/>
  <c r="D35" i="3"/>
  <c r="D37" i="3"/>
  <c r="D28" i="3"/>
  <c r="D43" i="3"/>
  <c r="D29" i="3"/>
  <c r="D32" i="3"/>
  <c r="D39" i="3"/>
  <c r="D27" i="3"/>
  <c r="D33" i="3"/>
  <c r="D40" i="3"/>
  <c r="D49" i="3"/>
  <c r="D25" i="3"/>
  <c r="D31" i="3"/>
  <c r="D36" i="3"/>
  <c r="D41" i="3"/>
  <c r="C49" i="3"/>
  <c r="I92" i="4"/>
  <c r="D101" i="4"/>
  <c r="D102" i="4" s="1"/>
  <c r="I39" i="4"/>
  <c r="F98" i="4"/>
  <c r="F99" i="4" s="1"/>
  <c r="D49" i="4"/>
  <c r="E40" i="4"/>
  <c r="E38" i="4"/>
  <c r="E41" i="4"/>
  <c r="E39" i="4"/>
  <c r="G94" i="4"/>
  <c r="F44" i="4"/>
  <c r="F45" i="4" s="1"/>
  <c r="F46" i="4" s="1"/>
  <c r="B57" i="4"/>
  <c r="B69" i="4" s="1"/>
  <c r="C50" i="3"/>
  <c r="D97" i="4"/>
  <c r="D98" i="4" s="1"/>
  <c r="D99" i="4" s="1"/>
  <c r="D26" i="3"/>
  <c r="D30" i="3"/>
  <c r="D34" i="3"/>
  <c r="D38" i="3"/>
  <c r="D42" i="3"/>
  <c r="B49" i="3"/>
  <c r="G92" i="4" l="1"/>
  <c r="G91" i="4"/>
  <c r="G93" i="4"/>
  <c r="E91" i="4"/>
  <c r="E92" i="4"/>
  <c r="G40" i="4"/>
  <c r="G41" i="4"/>
  <c r="G39" i="4"/>
  <c r="G38" i="4"/>
  <c r="E94" i="4"/>
  <c r="E93" i="4"/>
  <c r="E42" i="4"/>
  <c r="G95" i="4" l="1"/>
  <c r="D50" i="4"/>
  <c r="G68" i="4" s="1"/>
  <c r="H68" i="4" s="1"/>
  <c r="G42" i="4"/>
  <c r="D52" i="4"/>
  <c r="E95" i="4"/>
  <c r="D105" i="4"/>
  <c r="D103" i="4"/>
  <c r="G65" i="4" l="1"/>
  <c r="H65" i="4" s="1"/>
  <c r="D51" i="4"/>
  <c r="G60" i="4"/>
  <c r="H60" i="4" s="1"/>
  <c r="G69" i="4"/>
  <c r="H69" i="4" s="1"/>
  <c r="G63" i="4"/>
  <c r="H63" i="4" s="1"/>
  <c r="G66" i="4"/>
  <c r="H66" i="4" s="1"/>
  <c r="G67" i="4"/>
  <c r="H67" i="4" s="1"/>
  <c r="G62" i="4"/>
  <c r="H62" i="4" s="1"/>
  <c r="G71" i="4"/>
  <c r="H71" i="4" s="1"/>
  <c r="G61" i="4"/>
  <c r="H61" i="4" s="1"/>
  <c r="G70" i="4"/>
  <c r="H70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E115" i="4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<sst xmlns="http://schemas.openxmlformats.org/spreadsheetml/2006/main" count="236" uniqueCount="130">
  <si>
    <t>HPLC System Suitability Report</t>
  </si>
  <si>
    <t>Analysis Data</t>
  </si>
  <si>
    <t>Assay</t>
  </si>
  <si>
    <t>Sample(s)</t>
  </si>
  <si>
    <t>Reference Substance:</t>
  </si>
  <si>
    <t>NEVIRAPINE  TABLETS USP 200MG</t>
  </si>
  <si>
    <t>% age Purity:</t>
  </si>
  <si>
    <t>Weight (mg):</t>
  </si>
  <si>
    <t>Nevirapine USP</t>
  </si>
  <si>
    <t>Standard Conc (mg/mL):</t>
  </si>
  <si>
    <t xml:space="preserve">Nevirapine USP 200mg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</si>
  <si>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</si>
  <si>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</si>
  <si>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</si>
  <si>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</si>
  <si>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</si>
  <si>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</si>
  <si>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</si>
  <si>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</si>
  <si>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</si>
  <si>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</si>
  <si>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</si>
  <si>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</si>
  <si>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</si>
  <si>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</si>
  <si>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</si>
  <si>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</si>
  <si>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</si>
  <si>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</si>
  <si>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</si>
  <si>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</si>
  <si>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</si>
  <si>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</si>
  <si>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</si>
  <si>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</si>
  <si>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</si>
  <si>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</si>
  <si>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</si>
  <si>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</si>
  <si>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</si>
  <si>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</si>
  <si>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</si>
  <si>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</si>
  <si>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</si>
  <si>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</si>
  <si>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</si>
  <si>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</si>
  <si>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</si>
  <si>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</si>
  <si>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</si>
  <si>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</si>
  <si>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</si>
  <si>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</si>
  <si>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</si>
  <si>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</si>
  <si>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</si>
  <si>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</si>
  <si>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</si>
  <si>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</si>
  <si>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</si>
  <si>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</si>
  <si>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</si>
  <si>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</si>
  <si>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</si>
  <si>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</si>
  <si>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</si>
  <si>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</si>
  <si>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</si>
  <si>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</si>
  <si>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</si>
  <si>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</si>
  <si>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</si>
  <si>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</si>
  <si>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</si>
  <si>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</si>
  <si>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</si>
  <si>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</si>
  <si>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</si>
  <si>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</si>
  <si>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</si>
  <si>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</si>
  <si>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</si>
  <si>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</si>
  <si>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</si>
  <si>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</si>
  <si>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</si>
  <si>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</si>
  <si>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</si>
  <si>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</si>
  <si>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</si>
  <si>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</si>
  <si>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</si>
  <si>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</si>
  <si>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</si>
  <si>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</si>
  <si>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</si>
  <si>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</si>
  <si>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</si>
  <si>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</si>
  <si>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</si>
  <si>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</si>
  <si>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</si>
  <si>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</si>
  <si>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</si>
  <si>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</si>
  <si>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</si>
  <si>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</si>
  <si>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</si>
  <si>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</si>
  <si>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</si>
  <si>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</si>
  <si>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</si>
  <si>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</si>
  <si>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</si>
  <si>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</si>
  <si>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</si>
  <si>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</si>
  <si>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</si>
  <si>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</si>
  <si>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</si>
  <si>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</si>
  <si>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</si>
  <si>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</si>
  <si>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Tablet No.</t>
  </si>
  <si>
    <t>NDQD201508139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</si>
  <si>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</si>
  <si>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4/27/2016  13:35:57 PM</t>
  </si>
  <si>
    <t>KIPKORIR</t>
  </si>
  <si>
    <t xml:space="preserve">               Nevirapine USP 200mg </t>
  </si>
  <si>
    <r>
      <t>N</t>
    </r>
    <r>
      <rPr>
        <sz val="18"/>
        <color rgb="FF000000"/>
        <rFont val="Book Antiqua"/>
        <family val="1"/>
      </rPr>
      <t>1-3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</si>
</sst>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8"/>
      <color rgb="FF000000"/>
      <name val="Book Antiqua"/>
      <family val="1"/>
    </font>
    <font>
      <sz val="20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6" fillId="2" borderId="0" xfId="0" applyFont="1" applyFill="1" applyAlignment="1">
      <alignment horizontal="left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2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3" t="s">
        <v>0</v>
      </c>
      <c r="B15" s="283"/>
      <c r="C15" s="283"/>
      <c r="D15" s="283"/>
      <c r="E15" s="28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124</v>
      </c>
      <c r="C19" s="10"/>
      <c r="D19" s="10"/>
      <c r="E19" s="10"/>
    </row>
    <row r="20" spans="1:6" ht="16.5" customHeight="1" x14ac:dyDescent="0.3">
      <c r="A20" s="7" t="s">
        <v>7</v>
      </c>
      <c r="B20" s="12" t="s">
        <v>8</v>
      </c>
      <c r="C20" s="10"/>
      <c r="D20" s="10"/>
      <c r="E20" s="10"/>
    </row>
    <row r="21" spans="1:6" ht="16.5" customHeight="1" x14ac:dyDescent="0.3">
      <c r="A21" s="7" t="s">
        <v>9</v>
      </c>
      <c r="B21" s="13" t="s">
        <v>128</v>
      </c>
      <c r="C21" s="10"/>
      <c r="D21" s="10"/>
      <c r="E21" s="10"/>
    </row>
    <row r="22" spans="1:6" ht="15.75" customHeight="1" x14ac:dyDescent="0.25">
      <c r="A22" s="10"/>
      <c r="B22" s="282" t="s">
        <v>126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26598761</v>
      </c>
      <c r="C24" s="18">
        <v>4266.3999999999996</v>
      </c>
      <c r="D24" s="19">
        <v>1</v>
      </c>
      <c r="E24" s="20">
        <v>4.4000000000000004</v>
      </c>
    </row>
    <row r="25" spans="1:6" ht="16.5" customHeight="1" x14ac:dyDescent="0.3">
      <c r="A25" s="17">
        <v>2</v>
      </c>
      <c r="B25" s="18">
        <v>26665207</v>
      </c>
      <c r="C25" s="18">
        <v>4269.7</v>
      </c>
      <c r="D25" s="19">
        <v>1</v>
      </c>
      <c r="E25" s="19">
        <v>4.4000000000000004</v>
      </c>
    </row>
    <row r="26" spans="1:6" ht="16.5" customHeight="1" x14ac:dyDescent="0.3">
      <c r="A26" s="17">
        <v>3</v>
      </c>
      <c r="B26" s="18">
        <v>26603232</v>
      </c>
      <c r="C26" s="18">
        <v>4286.8</v>
      </c>
      <c r="D26" s="19">
        <v>1</v>
      </c>
      <c r="E26" s="19">
        <v>4.4000000000000004</v>
      </c>
    </row>
    <row r="27" spans="1:6" ht="16.5" customHeight="1" x14ac:dyDescent="0.3">
      <c r="A27" s="17">
        <v>4</v>
      </c>
      <c r="B27" s="18">
        <v>26600884</v>
      </c>
      <c r="C27" s="18">
        <v>4297.8999999999996</v>
      </c>
      <c r="D27" s="19">
        <v>1</v>
      </c>
      <c r="E27" s="19">
        <v>4.4000000000000004</v>
      </c>
    </row>
    <row r="28" spans="1:6" ht="16.5" customHeight="1" x14ac:dyDescent="0.3">
      <c r="A28" s="17">
        <v>5</v>
      </c>
      <c r="B28" s="18">
        <v>26500352</v>
      </c>
      <c r="C28" s="18">
        <v>4301.7</v>
      </c>
      <c r="D28" s="19">
        <v>1</v>
      </c>
      <c r="E28" s="19">
        <v>4.4000000000000004</v>
      </c>
    </row>
    <row r="29" spans="1:6" ht="16.5" customHeight="1" x14ac:dyDescent="0.3">
      <c r="A29" s="17">
        <v>6</v>
      </c>
      <c r="B29" s="21">
        <v>26605374</v>
      </c>
      <c r="C29" s="21">
        <v>4304.8</v>
      </c>
      <c r="D29" s="22">
        <v>1</v>
      </c>
      <c r="E29" s="22">
        <v>4.4000000000000004</v>
      </c>
    </row>
    <row r="30" spans="1:6" ht="16.5" customHeight="1" x14ac:dyDescent="0.3">
      <c r="A30" s="23" t="s">
        <v>16</v>
      </c>
      <c r="B30" s="24">
        <f>AVERAGE(B24:B29)</f>
        <v>26595635</v>
      </c>
      <c r="C30" s="25">
        <f>AVERAGE(C24:C29)</f>
        <v>4287.8833333333323</v>
      </c>
      <c r="D30" s="26">
        <f>AVERAGE(D24:D29)</f>
        <v>1</v>
      </c>
      <c r="E30" s="26">
        <f>AVERAGE(E24:E29)</f>
        <v>4.3999999999999995</v>
      </c>
    </row>
    <row r="31" spans="1:6" ht="16.5" customHeight="1" x14ac:dyDescent="0.3">
      <c r="A31" s="27" t="s">
        <v>17</v>
      </c>
      <c r="B31" s="28">
        <f>(STDEV(B24:B29)/B30)</f>
        <v>1.9973434311265051E-3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281" t="s">
        <v>122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99.15</v>
      </c>
      <c r="C40" s="10"/>
      <c r="D40" s="10"/>
      <c r="E40" s="10"/>
    </row>
    <row r="41" spans="1:6" ht="16.5" customHeight="1" x14ac:dyDescent="0.3">
      <c r="A41" s="7" t="s">
        <v>7</v>
      </c>
      <c r="B41" s="12">
        <v>20.190000000000001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26598761</v>
      </c>
      <c r="C45" s="18">
        <v>4266.3999999999996</v>
      </c>
      <c r="D45" s="19">
        <v>1</v>
      </c>
      <c r="E45" s="20">
        <v>4.4000000000000004</v>
      </c>
    </row>
    <row r="46" spans="1:6" ht="16.5" customHeight="1" x14ac:dyDescent="0.3">
      <c r="A46" s="17">
        <v>2</v>
      </c>
      <c r="B46" s="18">
        <v>26665207</v>
      </c>
      <c r="C46" s="18">
        <v>4269.7</v>
      </c>
      <c r="D46" s="19">
        <v>1</v>
      </c>
      <c r="E46" s="19">
        <v>4.4000000000000004</v>
      </c>
    </row>
    <row r="47" spans="1:6" ht="16.5" customHeight="1" x14ac:dyDescent="0.3">
      <c r="A47" s="17">
        <v>3</v>
      </c>
      <c r="B47" s="18">
        <v>26603232</v>
      </c>
      <c r="C47" s="18">
        <v>4286.8</v>
      </c>
      <c r="D47" s="19">
        <v>1</v>
      </c>
      <c r="E47" s="19">
        <v>4.4000000000000004</v>
      </c>
    </row>
    <row r="48" spans="1:6" ht="16.5" customHeight="1" x14ac:dyDescent="0.3">
      <c r="A48" s="17">
        <v>4</v>
      </c>
      <c r="B48" s="18">
        <v>26600884</v>
      </c>
      <c r="C48" s="18">
        <v>4297.8999999999996</v>
      </c>
      <c r="D48" s="19">
        <v>1</v>
      </c>
      <c r="E48" s="19">
        <v>4.4000000000000004</v>
      </c>
    </row>
    <row r="49" spans="1:7" ht="16.5" customHeight="1" x14ac:dyDescent="0.3">
      <c r="A49" s="17">
        <v>5</v>
      </c>
      <c r="B49" s="18">
        <v>26500352</v>
      </c>
      <c r="C49" s="18">
        <v>4301.7</v>
      </c>
      <c r="D49" s="19">
        <v>1</v>
      </c>
      <c r="E49" s="19">
        <v>4.4000000000000004</v>
      </c>
    </row>
    <row r="50" spans="1:7" ht="16.5" customHeight="1" x14ac:dyDescent="0.3">
      <c r="A50" s="17">
        <v>6</v>
      </c>
      <c r="B50" s="21">
        <v>26605374</v>
      </c>
      <c r="C50" s="21">
        <v>4304.8</v>
      </c>
      <c r="D50" s="22">
        <v>1</v>
      </c>
      <c r="E50" s="22">
        <v>4.4000000000000004</v>
      </c>
    </row>
    <row r="51" spans="1:7" ht="16.5" customHeight="1" x14ac:dyDescent="0.3">
      <c r="A51" s="23" t="s">
        <v>16</v>
      </c>
      <c r="B51" s="24">
        <f>AVERAGE(B45:B50)</f>
        <v>26595635</v>
      </c>
      <c r="C51" s="25">
        <f>AVERAGE(C45:C50)</f>
        <v>4287.8833333333323</v>
      </c>
      <c r="D51" s="26">
        <f>AVERAGE(D45:D50)</f>
        <v>1</v>
      </c>
      <c r="E51" s="26">
        <f>AVERAGE(E45:E50)</f>
        <v>4.3999999999999995</v>
      </c>
    </row>
    <row r="52" spans="1:7" ht="16.5" customHeight="1" x14ac:dyDescent="0.3">
      <c r="A52" s="27" t="s">
        <v>17</v>
      </c>
      <c r="B52" s="28">
        <f>(STDEV(B45:B50)/B51)</f>
        <v>1.9973434311265051E-3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4" t="s">
        <v>24</v>
      </c>
      <c r="C59" s="284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8" t="s">
        <v>29</v>
      </c>
      <c r="B11" s="289"/>
      <c r="C11" s="289"/>
      <c r="D11" s="289"/>
      <c r="E11" s="289"/>
      <c r="F11" s="290"/>
      <c r="G11" s="91"/>
    </row>
    <row r="12" spans="1:7" ht="16.5" customHeight="1" x14ac:dyDescent="0.3">
      <c r="A12" s="287" t="s">
        <v>30</v>
      </c>
      <c r="B12" s="287"/>
      <c r="C12" s="287"/>
      <c r="D12" s="287"/>
      <c r="E12" s="287"/>
      <c r="F12" s="287"/>
      <c r="G12" s="90"/>
    </row>
    <row r="14" spans="1:7" ht="16.5" customHeight="1" x14ac:dyDescent="0.3">
      <c r="A14" s="292" t="s">
        <v>31</v>
      </c>
      <c r="B14" s="292"/>
      <c r="C14" s="60" t="s">
        <v>5</v>
      </c>
    </row>
    <row r="15" spans="1:7" ht="16.5" customHeight="1" x14ac:dyDescent="0.3">
      <c r="A15" s="292" t="s">
        <v>32</v>
      </c>
      <c r="B15" s="292"/>
      <c r="C15" s="72" t="s">
        <v>124</v>
      </c>
    </row>
    <row r="16" spans="1:7" ht="16.5" customHeight="1" x14ac:dyDescent="0.3">
      <c r="A16" s="292" t="s">
        <v>33</v>
      </c>
      <c r="B16" s="292"/>
      <c r="C16" s="60" t="s">
        <v>8</v>
      </c>
    </row>
    <row r="17" spans="1:5" ht="16.5" customHeight="1" x14ac:dyDescent="0.3">
      <c r="A17" s="292" t="s">
        <v>34</v>
      </c>
      <c r="B17" s="292"/>
      <c r="C17" s="60" t="s">
        <v>10</v>
      </c>
    </row>
    <row r="18" spans="1:5" ht="16.5" customHeight="1" x14ac:dyDescent="0.3">
      <c r="A18" s="292" t="s">
        <v>35</v>
      </c>
      <c r="B18" s="292"/>
      <c r="C18" s="97">
        <v>42422.870312500003</v>
      </c>
    </row>
    <row r="19" spans="1:5" ht="16.5" customHeight="1" x14ac:dyDescent="0.3">
      <c r="A19" s="292" t="s">
        <v>36</v>
      </c>
      <c r="B19" s="292"/>
      <c r="C19" s="97"/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7" t="s">
        <v>1</v>
      </c>
      <c r="B21" s="287"/>
      <c r="C21" s="59" t="s">
        <v>37</v>
      </c>
      <c r="D21" s="66"/>
    </row>
    <row r="22" spans="1:5" ht="15.75" customHeight="1" x14ac:dyDescent="0.3">
      <c r="A22" s="291"/>
      <c r="B22" s="291"/>
      <c r="C22" s="57"/>
      <c r="D22" s="291"/>
      <c r="E22" s="291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454.91</v>
      </c>
      <c r="D24" s="87">
        <f t="shared" ref="D24:D43" si="0">(C24-$C$46)/$C$46</f>
        <v>-4.2987782189398867E-3</v>
      </c>
      <c r="E24" s="53"/>
    </row>
    <row r="25" spans="1:5" ht="15.75" customHeight="1" x14ac:dyDescent="0.3">
      <c r="C25" s="95">
        <v>454.77</v>
      </c>
      <c r="D25" s="88">
        <f t="shared" si="0"/>
        <v>-4.6052084382126914E-3</v>
      </c>
      <c r="E25" s="53"/>
    </row>
    <row r="26" spans="1:5" ht="15.75" customHeight="1" x14ac:dyDescent="0.3">
      <c r="C26" s="95">
        <v>457.8</v>
      </c>
      <c r="D26" s="88">
        <f t="shared" si="0"/>
        <v>2.0268170217610207E-3</v>
      </c>
      <c r="E26" s="53"/>
    </row>
    <row r="27" spans="1:5" ht="15.75" customHeight="1" x14ac:dyDescent="0.3">
      <c r="C27" s="95">
        <v>457.62</v>
      </c>
      <c r="D27" s="88">
        <f t="shared" si="0"/>
        <v>1.632835311267522E-3</v>
      </c>
      <c r="E27" s="53"/>
    </row>
    <row r="28" spans="1:5" ht="15.75" customHeight="1" x14ac:dyDescent="0.3">
      <c r="C28" s="95">
        <v>457.16</v>
      </c>
      <c r="D28" s="88">
        <f t="shared" si="0"/>
        <v>6.2599316222866316E-4</v>
      </c>
      <c r="E28" s="53"/>
    </row>
    <row r="29" spans="1:5" ht="15.75" customHeight="1" x14ac:dyDescent="0.3">
      <c r="C29" s="95">
        <v>456.44</v>
      </c>
      <c r="D29" s="88">
        <f t="shared" si="0"/>
        <v>-9.4993367974533264E-4</v>
      </c>
      <c r="E29" s="53"/>
    </row>
    <row r="30" spans="1:5" ht="15.75" customHeight="1" x14ac:dyDescent="0.3">
      <c r="C30" s="95">
        <v>458.1</v>
      </c>
      <c r="D30" s="88">
        <f t="shared" si="0"/>
        <v>2.6834532059168523E-3</v>
      </c>
      <c r="E30" s="53"/>
    </row>
    <row r="31" spans="1:5" ht="15.75" customHeight="1" x14ac:dyDescent="0.3">
      <c r="C31" s="95">
        <v>456.91</v>
      </c>
      <c r="D31" s="88">
        <f t="shared" si="0"/>
        <v>7.8796342098824199E-5</v>
      </c>
      <c r="E31" s="53"/>
    </row>
    <row r="32" spans="1:5" ht="15.75" customHeight="1" x14ac:dyDescent="0.3">
      <c r="C32" s="95">
        <v>454.46</v>
      </c>
      <c r="D32" s="88">
        <f t="shared" si="0"/>
        <v>-5.2837324951736965E-3</v>
      </c>
      <c r="E32" s="53"/>
    </row>
    <row r="33" spans="1:7" ht="15.75" customHeight="1" x14ac:dyDescent="0.3">
      <c r="C33" s="95">
        <v>456.02</v>
      </c>
      <c r="D33" s="88">
        <f t="shared" si="0"/>
        <v>-1.8692243375634967E-3</v>
      </c>
      <c r="E33" s="53"/>
    </row>
    <row r="34" spans="1:7" ht="15.75" customHeight="1" x14ac:dyDescent="0.3">
      <c r="C34" s="95">
        <v>461.35</v>
      </c>
      <c r="D34" s="88">
        <f t="shared" si="0"/>
        <v>9.7970118676047584E-3</v>
      </c>
      <c r="E34" s="53"/>
    </row>
    <row r="35" spans="1:7" ht="15.75" customHeight="1" x14ac:dyDescent="0.3">
      <c r="C35" s="95">
        <v>461.01</v>
      </c>
      <c r="D35" s="88">
        <f t="shared" si="0"/>
        <v>9.0528241922281077E-3</v>
      </c>
      <c r="E35" s="53"/>
    </row>
    <row r="36" spans="1:7" ht="15.75" customHeight="1" x14ac:dyDescent="0.3">
      <c r="C36" s="95">
        <v>451.7</v>
      </c>
      <c r="D36" s="88">
        <f t="shared" si="0"/>
        <v>-1.1324785389407099E-2</v>
      </c>
      <c r="E36" s="53"/>
    </row>
    <row r="37" spans="1:7" ht="15.75" customHeight="1" x14ac:dyDescent="0.3">
      <c r="C37" s="95">
        <v>455.95</v>
      </c>
      <c r="D37" s="88">
        <f t="shared" si="0"/>
        <v>-2.0224394471998366E-3</v>
      </c>
      <c r="E37" s="53"/>
    </row>
    <row r="38" spans="1:7" ht="15.75" customHeight="1" x14ac:dyDescent="0.3">
      <c r="C38" s="95">
        <v>456.62</v>
      </c>
      <c r="D38" s="88">
        <f t="shared" si="0"/>
        <v>-5.5595196925183369E-4</v>
      </c>
      <c r="E38" s="53"/>
    </row>
    <row r="39" spans="1:7" ht="15.75" customHeight="1" x14ac:dyDescent="0.3">
      <c r="C39" s="95">
        <v>458.51</v>
      </c>
      <c r="D39" s="88">
        <f t="shared" si="0"/>
        <v>3.5808559909297185E-3</v>
      </c>
      <c r="E39" s="53"/>
    </row>
    <row r="40" spans="1:7" ht="15.75" customHeight="1" x14ac:dyDescent="0.3">
      <c r="C40" s="95">
        <v>464.3</v>
      </c>
      <c r="D40" s="88">
        <f t="shared" si="0"/>
        <v>1.6253934345136833E-2</v>
      </c>
      <c r="E40" s="53"/>
    </row>
    <row r="41" spans="1:7" ht="15.75" customHeight="1" x14ac:dyDescent="0.3">
      <c r="C41" s="95">
        <v>451.58</v>
      </c>
      <c r="D41" s="88">
        <f t="shared" si="0"/>
        <v>-1.158743986306943E-2</v>
      </c>
      <c r="E41" s="53"/>
    </row>
    <row r="42" spans="1:7" ht="15.75" customHeight="1" x14ac:dyDescent="0.3">
      <c r="C42" s="95">
        <v>460.74</v>
      </c>
      <c r="D42" s="88">
        <f t="shared" si="0"/>
        <v>8.4618516264879217E-3</v>
      </c>
      <c r="E42" s="53"/>
    </row>
    <row r="43" spans="1:7" ht="16.5" customHeight="1" x14ac:dyDescent="0.3">
      <c r="C43" s="96">
        <v>451.53</v>
      </c>
      <c r="D43" s="89">
        <f t="shared" si="0"/>
        <v>-1.1696879227095423E-2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9137.48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456.87399999999997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285">
        <f>C46</f>
        <v>456.87399999999997</v>
      </c>
      <c r="C49" s="93">
        <f>-IF(C46&lt;=80,10%,IF(C46&lt;250,7.5%,5%))</f>
        <v>-0.05</v>
      </c>
      <c r="D49" s="81">
        <f>IF(C46&lt;=80,C46*0.9,IF(C46&lt;250,C46*0.925,C46*0.95))</f>
        <v>434.03029999999995</v>
      </c>
    </row>
    <row r="50" spans="1:6" ht="17.25" customHeight="1" x14ac:dyDescent="0.3">
      <c r="B50" s="286"/>
      <c r="C50" s="94">
        <f>IF(C46&lt;=80, 10%, IF(C46&lt;250, 7.5%, 5%))</f>
        <v>0.05</v>
      </c>
      <c r="D50" s="81">
        <f>IF(C46&lt;=80, C46*1.1, IF(C46&lt;250, C46*1.075, C46*1.05))</f>
        <v>479.71769999999998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3" t="s">
        <v>127</v>
      </c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6" zoomScale="55" zoomScaleNormal="40" zoomScalePageLayoutView="55" workbookViewId="0">
      <selection activeCell="B76" sqref="B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3" t="s">
        <v>43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44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x14ac:dyDescent="0.3">
      <c r="A15" s="98"/>
    </row>
    <row r="16" spans="1:9" ht="19.5" customHeight="1" x14ac:dyDescent="0.3">
      <c r="A16" s="328" t="s">
        <v>29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45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31</v>
      </c>
      <c r="B18" s="327" t="s">
        <v>5</v>
      </c>
      <c r="C18" s="327"/>
      <c r="D18" s="267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124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332" t="s">
        <v>8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332" t="s">
        <v>10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35</v>
      </c>
      <c r="B22" s="105">
        <v>42487.019537037035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>
        <v>42488.002245370371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  <c r="C24" s="227" t="s">
        <v>125</v>
      </c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122</v>
      </c>
      <c r="C26" s="327"/>
    </row>
    <row r="27" spans="1:14" ht="26.25" customHeight="1" x14ac:dyDescent="0.4">
      <c r="A27" s="109" t="s">
        <v>46</v>
      </c>
      <c r="B27" s="324" t="s">
        <v>129</v>
      </c>
      <c r="C27" s="325"/>
    </row>
    <row r="28" spans="1:14" ht="27" customHeight="1" x14ac:dyDescent="0.4">
      <c r="A28" s="109" t="s">
        <v>6</v>
      </c>
      <c r="B28" s="110">
        <v>99.15</v>
      </c>
    </row>
    <row r="29" spans="1:14" s="14" customFormat="1" ht="27" customHeight="1" x14ac:dyDescent="0.4">
      <c r="A29" s="109" t="s">
        <v>47</v>
      </c>
      <c r="B29" s="111">
        <v>0</v>
      </c>
      <c r="C29" s="301" t="s">
        <v>48</v>
      </c>
      <c r="D29" s="302"/>
      <c r="E29" s="302"/>
      <c r="F29" s="302"/>
      <c r="G29" s="303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v>99.15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304" t="s">
        <v>51</v>
      </c>
      <c r="D31" s="305"/>
      <c r="E31" s="305"/>
      <c r="F31" s="305"/>
      <c r="G31" s="305"/>
      <c r="H31" s="306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304" t="s">
        <v>53</v>
      </c>
      <c r="D32" s="305"/>
      <c r="E32" s="305"/>
      <c r="F32" s="305"/>
      <c r="G32" s="305"/>
      <c r="H32" s="30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100</v>
      </c>
      <c r="C36" s="99"/>
      <c r="D36" s="307" t="s">
        <v>57</v>
      </c>
      <c r="E36" s="326"/>
      <c r="F36" s="307" t="s">
        <v>58</v>
      </c>
      <c r="G36" s="30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2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20</v>
      </c>
      <c r="C38" s="131">
        <v>1</v>
      </c>
      <c r="D38" s="132">
        <v>26493941</v>
      </c>
      <c r="E38" s="133">
        <f>IF(ISBLANK(D38),"-",$D$48/$D$45*D38)</f>
        <v>26469608.812099475</v>
      </c>
      <c r="F38" s="132">
        <v>26795473</v>
      </c>
      <c r="G38" s="134">
        <f>IF(ISBLANK(F38),"-",$D$48/$F$45*F38)</f>
        <v>26731144.500758924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26522265</v>
      </c>
      <c r="E39" s="138">
        <f>IF(ISBLANK(D39),"-",$D$48/$D$45*D39)</f>
        <v>26497906.799174856</v>
      </c>
      <c r="F39" s="137">
        <v>26782524</v>
      </c>
      <c r="G39" s="139">
        <f>IF(ISBLANK(F39),"-",$D$48/$F$45*F39)</f>
        <v>26718226.587716661</v>
      </c>
      <c r="I39" s="309">
        <f>ABS((F43/D43*D42)-F42)/D42</f>
        <v>9.4425193320513707E-3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26516546</v>
      </c>
      <c r="E40" s="138">
        <f>IF(ISBLANK(D40),"-",$D$48/$D$45*D40)</f>
        <v>26492193.051537372</v>
      </c>
      <c r="F40" s="137">
        <v>26823921</v>
      </c>
      <c r="G40" s="139">
        <f>IF(ISBLANK(F40),"-",$D$48/$F$45*F40)</f>
        <v>26759524.205000665</v>
      </c>
      <c r="I40" s="309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26510917.333333332</v>
      </c>
      <c r="E42" s="148">
        <f>AVERAGE(E38:E41)</f>
        <v>26486569.554270566</v>
      </c>
      <c r="F42" s="147">
        <f>AVERAGE(F38:F41)</f>
        <v>26800639.333333332</v>
      </c>
      <c r="G42" s="149">
        <f>AVERAGE(G38:G41)</f>
        <v>26736298.431158751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20.190000000000001</v>
      </c>
      <c r="E43" s="140"/>
      <c r="F43" s="152">
        <v>20.22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20.190000000000001</v>
      </c>
      <c r="E44" s="155"/>
      <c r="F44" s="154">
        <f>F43*$B$34</f>
        <v>20.22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1000</v>
      </c>
      <c r="C45" s="153" t="s">
        <v>75</v>
      </c>
      <c r="D45" s="157">
        <f>D44*$B$30/100</f>
        <v>20.018385000000002</v>
      </c>
      <c r="E45" s="158"/>
      <c r="F45" s="157">
        <f>F44*$B$30/100</f>
        <v>20.04813</v>
      </c>
      <c r="H45" s="150"/>
    </row>
    <row r="46" spans="1:14" ht="19.5" customHeight="1" x14ac:dyDescent="0.3">
      <c r="A46" s="295" t="s">
        <v>76</v>
      </c>
      <c r="B46" s="296"/>
      <c r="C46" s="153" t="s">
        <v>77</v>
      </c>
      <c r="D46" s="159">
        <f>D45/$B$45</f>
        <v>2.0018385000000003E-2</v>
      </c>
      <c r="E46" s="160"/>
      <c r="F46" s="161">
        <f>F45/$B$45</f>
        <v>2.0048130000000001E-2</v>
      </c>
      <c r="H46" s="150"/>
    </row>
    <row r="47" spans="1:14" ht="27" customHeight="1" x14ac:dyDescent="0.4">
      <c r="A47" s="297"/>
      <c r="B47" s="298"/>
      <c r="C47" s="162" t="s">
        <v>78</v>
      </c>
      <c r="D47" s="163">
        <v>0.02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20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26611433.992714658</v>
      </c>
      <c r="F50" s="170"/>
      <c r="H50" s="150"/>
    </row>
    <row r="51" spans="1:12" ht="18.75" x14ac:dyDescent="0.3">
      <c r="C51" s="124" t="s">
        <v>82</v>
      </c>
      <c r="D51" s="171">
        <f>STDEV(E38:E41,G38:G41)/D50</f>
        <v>5.1766701835872161E-3</v>
      </c>
      <c r="F51" s="170"/>
      <c r="H51" s="150"/>
    </row>
    <row r="52" spans="1:12" ht="19.5" customHeight="1" x14ac:dyDescent="0.3">
      <c r="C52" s="172" t="s">
        <v>18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83</v>
      </c>
    </row>
    <row r="55" spans="1:12" ht="18.75" x14ac:dyDescent="0.3">
      <c r="A55" s="99" t="s">
        <v>84</v>
      </c>
      <c r="B55" s="176" t="str">
        <f>B21</f>
        <v xml:space="preserve">Nevirapine USP 200mg </v>
      </c>
    </row>
    <row r="56" spans="1:12" ht="26.25" customHeight="1" x14ac:dyDescent="0.4">
      <c r="A56" s="177" t="s">
        <v>85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86</v>
      </c>
      <c r="B57" s="268">
        <f>Uniformity!C46</f>
        <v>456.87399999999997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2</v>
      </c>
      <c r="C60" s="312" t="s">
        <v>92</v>
      </c>
      <c r="D60" s="315">
        <v>456.78</v>
      </c>
      <c r="E60" s="182">
        <v>1</v>
      </c>
      <c r="F60" s="137">
        <v>26704750</v>
      </c>
      <c r="G60" s="269">
        <f>IF(ISBLANK(F60),"-",(F60/$D$50*$D$47*$B$68)*($B$57/$D$60))</f>
        <v>200.74262464476837</v>
      </c>
      <c r="H60" s="184">
        <f t="shared" ref="H60:H71" si="0">IF(ISBLANK(F60),"-",G60/$B$56)</f>
        <v>1.0037131232238419</v>
      </c>
      <c r="L60" s="112"/>
    </row>
    <row r="61" spans="1:12" s="14" customFormat="1" ht="26.25" customHeight="1" x14ac:dyDescent="0.4">
      <c r="A61" s="124" t="s">
        <v>93</v>
      </c>
      <c r="B61" s="125">
        <v>20</v>
      </c>
      <c r="C61" s="313"/>
      <c r="D61" s="316"/>
      <c r="E61" s="185">
        <v>2</v>
      </c>
      <c r="F61" s="187">
        <v>26703744</v>
      </c>
      <c r="G61" s="270">
        <f>IF(ISBLANK(F61),"-",(F61/$D$50*$D$47*$B$68)*($B$57/$D$60))</f>
        <v>200.73506242904301</v>
      </c>
      <c r="H61" s="186">
        <f t="shared" si="0"/>
        <v>1.0036753121452151</v>
      </c>
      <c r="L61" s="112"/>
    </row>
    <row r="62" spans="1:12" s="14" customFormat="1" ht="26.25" customHeight="1" x14ac:dyDescent="0.4">
      <c r="A62" s="124" t="s">
        <v>94</v>
      </c>
      <c r="B62" s="125">
        <v>2</v>
      </c>
      <c r="C62" s="313"/>
      <c r="D62" s="316"/>
      <c r="E62" s="185">
        <v>3</v>
      </c>
      <c r="F62" s="187">
        <v>26698123</v>
      </c>
      <c r="G62" s="270">
        <f>IF(ISBLANK(F62),"-",(F62/$D$50*$D$47*$B$68)*($B$57/$D$60))</f>
        <v>200.69280873660517</v>
      </c>
      <c r="H62" s="186">
        <f t="shared" si="0"/>
        <v>1.0034640436830258</v>
      </c>
      <c r="L62" s="112"/>
    </row>
    <row r="63" spans="1:12" ht="27" customHeight="1" x14ac:dyDescent="0.4">
      <c r="A63" s="124" t="s">
        <v>95</v>
      </c>
      <c r="B63" s="125">
        <v>20</v>
      </c>
      <c r="C63" s="323"/>
      <c r="D63" s="317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312" t="s">
        <v>97</v>
      </c>
      <c r="D64" s="315"/>
      <c r="E64" s="182">
        <v>1</v>
      </c>
      <c r="F64" s="183"/>
      <c r="G64" s="271" t="str">
        <f>IF(ISBLANK(F64),"-",(F64/$D$50*$D$47*$B$68)*($B$57/$D$64))</f>
        <v>-</v>
      </c>
      <c r="H64" s="190" t="str">
        <f t="shared" si="0"/>
        <v>-</v>
      </c>
    </row>
    <row r="65" spans="1:8" ht="26.25" customHeight="1" x14ac:dyDescent="0.4">
      <c r="A65" s="124" t="s">
        <v>98</v>
      </c>
      <c r="B65" s="125">
        <v>1</v>
      </c>
      <c r="C65" s="313"/>
      <c r="D65" s="316"/>
      <c r="E65" s="185">
        <v>2</v>
      </c>
      <c r="F65" s="137"/>
      <c r="G65" s="272" t="str">
        <f>IF(ISBLANK(F65),"-",(F65/$D$50*$D$47*$B$68)*($B$57/$D$64))</f>
        <v>-</v>
      </c>
      <c r="H65" s="191" t="str">
        <f t="shared" si="0"/>
        <v>-</v>
      </c>
    </row>
    <row r="66" spans="1:8" ht="26.25" customHeight="1" x14ac:dyDescent="0.4">
      <c r="A66" s="124" t="s">
        <v>99</v>
      </c>
      <c r="B66" s="125">
        <v>1</v>
      </c>
      <c r="C66" s="313"/>
      <c r="D66" s="316"/>
      <c r="E66" s="185">
        <v>3</v>
      </c>
      <c r="F66" s="137"/>
      <c r="G66" s="272" t="str">
        <f>IF(ISBLANK(F66),"-",(F66/$D$50*$D$47*$B$68)*($B$57/$D$64))</f>
        <v>-</v>
      </c>
      <c r="H66" s="191" t="str">
        <f t="shared" si="0"/>
        <v>-</v>
      </c>
    </row>
    <row r="67" spans="1:8" ht="27" customHeight="1" x14ac:dyDescent="0.4">
      <c r="A67" s="124" t="s">
        <v>100</v>
      </c>
      <c r="B67" s="125">
        <v>1</v>
      </c>
      <c r="C67" s="323"/>
      <c r="D67" s="317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101</v>
      </c>
      <c r="B68" s="193">
        <f>(B67/B66)*(B65/B64)*(B63/B62)*(B61/B60)*B59</f>
        <v>10000</v>
      </c>
      <c r="C68" s="312" t="s">
        <v>102</v>
      </c>
      <c r="D68" s="315">
        <v>457.31</v>
      </c>
      <c r="E68" s="182">
        <v>1</v>
      </c>
      <c r="F68" s="183">
        <v>27683035</v>
      </c>
      <c r="G68" s="271">
        <f>IF(ISBLANK(F68),"-",(F68/$D$50*$D$47*$B$68)*($B$57/$D$68))</f>
        <v>207.85532987735414</v>
      </c>
      <c r="H68" s="186">
        <f t="shared" si="0"/>
        <v>1.0392766493867707</v>
      </c>
    </row>
    <row r="69" spans="1:8" ht="27" customHeight="1" x14ac:dyDescent="0.4">
      <c r="A69" s="172" t="s">
        <v>103</v>
      </c>
      <c r="B69" s="194">
        <f>(D47*B68)/B56*B57</f>
        <v>456.87399999999997</v>
      </c>
      <c r="C69" s="313"/>
      <c r="D69" s="316"/>
      <c r="E69" s="185">
        <v>2</v>
      </c>
      <c r="F69" s="137">
        <v>27702460</v>
      </c>
      <c r="G69" s="272">
        <f>IF(ISBLANK(F69),"-",(F69/$D$50*$D$47*$B$68)*($B$57/$D$68))</f>
        <v>208.00118056832309</v>
      </c>
      <c r="H69" s="186">
        <f t="shared" si="0"/>
        <v>1.0400059028416155</v>
      </c>
    </row>
    <row r="70" spans="1:8" ht="26.25" customHeight="1" x14ac:dyDescent="0.4">
      <c r="A70" s="318" t="s">
        <v>76</v>
      </c>
      <c r="B70" s="319"/>
      <c r="C70" s="313"/>
      <c r="D70" s="316"/>
      <c r="E70" s="185">
        <v>3</v>
      </c>
      <c r="F70" s="137">
        <v>27705167</v>
      </c>
      <c r="G70" s="272">
        <f>IF(ISBLANK(F70),"-",(F70/$D$50*$D$47*$B$68)*($B$57/$D$68))</f>
        <v>208.02150581004526</v>
      </c>
      <c r="H70" s="186">
        <f t="shared" si="0"/>
        <v>1.0401075290502262</v>
      </c>
    </row>
    <row r="71" spans="1:8" ht="27" customHeight="1" x14ac:dyDescent="0.4">
      <c r="A71" s="320"/>
      <c r="B71" s="321"/>
      <c r="C71" s="314"/>
      <c r="D71" s="317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69</v>
      </c>
      <c r="G72" s="278">
        <f>AVERAGE(G60:G71)</f>
        <v>204.34141867768983</v>
      </c>
      <c r="H72" s="199">
        <f>AVERAGE(H60:H71)</f>
        <v>1.0217070933884491</v>
      </c>
    </row>
    <row r="73" spans="1:8" ht="26.25" customHeight="1" x14ac:dyDescent="0.4">
      <c r="C73" s="196"/>
      <c r="D73" s="196"/>
      <c r="E73" s="196"/>
      <c r="F73" s="200" t="s">
        <v>82</v>
      </c>
      <c r="G73" s="274">
        <f>STDEV(G60:G71)/G72</f>
        <v>1.9397359015428103E-2</v>
      </c>
      <c r="H73" s="274">
        <f>STDEV(H60:H71)/H72</f>
        <v>1.9397359015428103E-2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18</v>
      </c>
      <c r="G74" s="203">
        <f>COUNT(G60:G71)</f>
        <v>6</v>
      </c>
      <c r="H74" s="203">
        <f>COUNT(H60:H71)</f>
        <v>6</v>
      </c>
    </row>
    <row r="76" spans="1:8" ht="26.25" customHeight="1" x14ac:dyDescent="0.4">
      <c r="A76" s="108" t="s">
        <v>104</v>
      </c>
      <c r="B76" s="204" t="s">
        <v>105</v>
      </c>
      <c r="C76" s="299" t="str">
        <f>B20</f>
        <v>Nevirapine USP</v>
      </c>
      <c r="D76" s="299"/>
      <c r="E76" s="205" t="s">
        <v>106</v>
      </c>
      <c r="F76" s="205"/>
      <c r="G76" s="206">
        <f>H72</f>
        <v>1.0217070933884491</v>
      </c>
      <c r="H76" s="207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2" t="str">
        <f>B26</f>
        <v>Nevirapine</v>
      </c>
      <c r="C79" s="322"/>
    </row>
    <row r="80" spans="1:8" ht="26.25" customHeight="1" x14ac:dyDescent="0.4">
      <c r="A80" s="109" t="s">
        <v>46</v>
      </c>
      <c r="B80" s="322" t="str">
        <f>B27</f>
        <v>N1-3</v>
      </c>
      <c r="C80" s="322"/>
    </row>
    <row r="81" spans="1:12" ht="27" customHeight="1" x14ac:dyDescent="0.4">
      <c r="A81" s="109" t="s">
        <v>6</v>
      </c>
      <c r="B81" s="208">
        <f>B28</f>
        <v>99.15</v>
      </c>
    </row>
    <row r="82" spans="1:12" s="14" customFormat="1" ht="27" customHeight="1" x14ac:dyDescent="0.4">
      <c r="A82" s="109" t="s">
        <v>47</v>
      </c>
      <c r="B82" s="111">
        <v>0</v>
      </c>
      <c r="C82" s="301" t="s">
        <v>48</v>
      </c>
      <c r="D82" s="302"/>
      <c r="E82" s="302"/>
      <c r="F82" s="302"/>
      <c r="G82" s="303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99.15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304" t="s">
        <v>109</v>
      </c>
      <c r="D84" s="305"/>
      <c r="E84" s="305"/>
      <c r="F84" s="305"/>
      <c r="G84" s="305"/>
      <c r="H84" s="306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304" t="s">
        <v>110</v>
      </c>
      <c r="D85" s="305"/>
      <c r="E85" s="305"/>
      <c r="F85" s="305"/>
      <c r="G85" s="305"/>
      <c r="H85" s="30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100</v>
      </c>
      <c r="D89" s="209" t="s">
        <v>57</v>
      </c>
      <c r="E89" s="210"/>
      <c r="F89" s="307" t="s">
        <v>58</v>
      </c>
      <c r="G89" s="308"/>
    </row>
    <row r="90" spans="1:12" ht="27" customHeight="1" x14ac:dyDescent="0.4">
      <c r="A90" s="124" t="s">
        <v>59</v>
      </c>
      <c r="B90" s="125">
        <v>2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20</v>
      </c>
      <c r="C91" s="213">
        <v>1</v>
      </c>
      <c r="D91" s="132">
        <v>26493941</v>
      </c>
      <c r="E91" s="133">
        <f>IF(ISBLANK(D91),"-",$D$101/$D$98*D91)</f>
        <v>29410676.457888305</v>
      </c>
      <c r="F91" s="132">
        <v>26795473</v>
      </c>
      <c r="G91" s="134">
        <f>IF(ISBLANK(F91),"-",$D$101/$F$98*F91)</f>
        <v>29701271.667509913</v>
      </c>
      <c r="I91" s="135"/>
    </row>
    <row r="92" spans="1:12" ht="26.25" customHeight="1" x14ac:dyDescent="0.4">
      <c r="A92" s="124" t="s">
        <v>65</v>
      </c>
      <c r="B92" s="125">
        <v>1</v>
      </c>
      <c r="C92" s="197">
        <v>2</v>
      </c>
      <c r="D92" s="137">
        <v>26522265</v>
      </c>
      <c r="E92" s="138">
        <f>IF(ISBLANK(D92),"-",$D$101/$D$98*D92)</f>
        <v>29442118.66574984</v>
      </c>
      <c r="F92" s="137">
        <v>26782524</v>
      </c>
      <c r="G92" s="139">
        <f>IF(ISBLANK(F92),"-",$D$101/$F$98*F92)</f>
        <v>29686918.430796284</v>
      </c>
      <c r="I92" s="309">
        <f>ABS((F96/D96*D95)-F95)/D95</f>
        <v>9.4425193320513707E-3</v>
      </c>
    </row>
    <row r="93" spans="1:12" ht="26.25" customHeight="1" x14ac:dyDescent="0.4">
      <c r="A93" s="124" t="s">
        <v>66</v>
      </c>
      <c r="B93" s="125">
        <v>1</v>
      </c>
      <c r="C93" s="197">
        <v>3</v>
      </c>
      <c r="D93" s="137">
        <v>26516546</v>
      </c>
      <c r="E93" s="138">
        <f>IF(ISBLANK(D93),"-",$D$101/$D$98*D93)</f>
        <v>29435770.057263747</v>
      </c>
      <c r="F93" s="137">
        <v>26823921</v>
      </c>
      <c r="G93" s="139">
        <f>IF(ISBLANK(F93),"-",$D$101/$F$98*F93)</f>
        <v>29732804.672222961</v>
      </c>
      <c r="I93" s="309"/>
    </row>
    <row r="94" spans="1:12" ht="27" customHeight="1" x14ac:dyDescent="0.4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68</v>
      </c>
      <c r="B95" s="125">
        <v>1</v>
      </c>
      <c r="C95" s="216" t="s">
        <v>69</v>
      </c>
      <c r="D95" s="217">
        <f>AVERAGE(D91:D94)</f>
        <v>26510917.333333332</v>
      </c>
      <c r="E95" s="148">
        <f>AVERAGE(E91:E94)</f>
        <v>29429521.726967294</v>
      </c>
      <c r="F95" s="218">
        <f>AVERAGE(F91:F94)</f>
        <v>26800639.333333332</v>
      </c>
      <c r="G95" s="219">
        <f>AVERAGE(G91:G94)</f>
        <v>29706998.256843049</v>
      </c>
    </row>
    <row r="96" spans="1:12" ht="26.25" customHeight="1" x14ac:dyDescent="0.4">
      <c r="A96" s="124" t="s">
        <v>70</v>
      </c>
      <c r="B96" s="110">
        <v>1</v>
      </c>
      <c r="C96" s="220" t="s">
        <v>111</v>
      </c>
      <c r="D96" s="221">
        <v>20.190000000000001</v>
      </c>
      <c r="E96" s="140"/>
      <c r="F96" s="152">
        <v>20.22</v>
      </c>
    </row>
    <row r="97" spans="1:10" ht="26.25" customHeight="1" x14ac:dyDescent="0.4">
      <c r="A97" s="124" t="s">
        <v>72</v>
      </c>
      <c r="B97" s="110">
        <v>1</v>
      </c>
      <c r="C97" s="222" t="s">
        <v>112</v>
      </c>
      <c r="D97" s="223">
        <f>D96*$B$87</f>
        <v>20.190000000000001</v>
      </c>
      <c r="E97" s="155"/>
      <c r="F97" s="154">
        <f>F96*$B$87</f>
        <v>20.22</v>
      </c>
    </row>
    <row r="98" spans="1:10" ht="19.5" customHeight="1" x14ac:dyDescent="0.3">
      <c r="A98" s="124" t="s">
        <v>74</v>
      </c>
      <c r="B98" s="224">
        <f>(B97/B96)*(B95/B94)*(B93/B92)*(B91/B90)*B89</f>
        <v>1000</v>
      </c>
      <c r="C98" s="222" t="s">
        <v>113</v>
      </c>
      <c r="D98" s="225">
        <f>D97*$B$83/100</f>
        <v>20.018385000000002</v>
      </c>
      <c r="E98" s="158"/>
      <c r="F98" s="157">
        <f>F97*$B$83/100</f>
        <v>20.04813</v>
      </c>
    </row>
    <row r="99" spans="1:10" ht="19.5" customHeight="1" x14ac:dyDescent="0.3">
      <c r="A99" s="295" t="s">
        <v>76</v>
      </c>
      <c r="B99" s="310"/>
      <c r="C99" s="222" t="s">
        <v>114</v>
      </c>
      <c r="D99" s="226">
        <f>D98/$B$98</f>
        <v>2.0018385000000003E-2</v>
      </c>
      <c r="E99" s="158"/>
      <c r="F99" s="161">
        <f>F98/$B$98</f>
        <v>2.0048130000000001E-2</v>
      </c>
      <c r="G99" s="227"/>
      <c r="H99" s="150"/>
    </row>
    <row r="100" spans="1:10" ht="19.5" customHeight="1" x14ac:dyDescent="0.3">
      <c r="A100" s="297"/>
      <c r="B100" s="311"/>
      <c r="C100" s="222" t="s">
        <v>78</v>
      </c>
      <c r="D100" s="228">
        <f>$B$56/$B$116</f>
        <v>2.2222222222222223E-2</v>
      </c>
      <c r="F100" s="166"/>
      <c r="G100" s="229"/>
      <c r="H100" s="150"/>
    </row>
    <row r="101" spans="1:10" ht="18.75" x14ac:dyDescent="0.3">
      <c r="C101" s="222" t="s">
        <v>79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80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115</v>
      </c>
      <c r="D103" s="234">
        <f>AVERAGE(E91:E94,G91:G94)</f>
        <v>29568259.991905179</v>
      </c>
      <c r="F103" s="170"/>
      <c r="G103" s="235"/>
      <c r="H103" s="150"/>
      <c r="J103" s="236"/>
    </row>
    <row r="104" spans="1:10" ht="18.75" x14ac:dyDescent="0.3">
      <c r="C104" s="200" t="s">
        <v>82</v>
      </c>
      <c r="D104" s="237">
        <f>STDEV(E91:E94,G91:G94)/D103</f>
        <v>5.1766701835871754E-3</v>
      </c>
      <c r="F104" s="170"/>
      <c r="G104" s="227"/>
      <c r="H104" s="150"/>
      <c r="J104" s="236"/>
    </row>
    <row r="105" spans="1:10" ht="19.5" customHeight="1" x14ac:dyDescent="0.3">
      <c r="C105" s="202" t="s">
        <v>18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116</v>
      </c>
      <c r="B107" s="123">
        <v>900</v>
      </c>
      <c r="C107" s="239" t="s">
        <v>123</v>
      </c>
      <c r="D107" s="240" t="s">
        <v>61</v>
      </c>
      <c r="E107" s="241" t="s">
        <v>117</v>
      </c>
      <c r="F107" s="242" t="s">
        <v>118</v>
      </c>
    </row>
    <row r="108" spans="1:10" ht="26.25" customHeight="1" x14ac:dyDescent="0.4">
      <c r="A108" s="124" t="s">
        <v>119</v>
      </c>
      <c r="B108" s="125">
        <v>2</v>
      </c>
      <c r="C108" s="243">
        <v>1</v>
      </c>
      <c r="D108" s="244">
        <v>27585592</v>
      </c>
      <c r="E108" s="275">
        <f t="shared" ref="E108:E113" si="1">IF(ISBLANK(D108),"-",D108/$D$103*$D$100*$B$116)</f>
        <v>186.5892142963572</v>
      </c>
      <c r="F108" s="245">
        <f t="shared" ref="F108:F113" si="2">IF(ISBLANK(D108), "-", E108/$B$56)</f>
        <v>0.93294607148178599</v>
      </c>
    </row>
    <row r="109" spans="1:10" ht="26.25" customHeight="1" x14ac:dyDescent="0.4">
      <c r="A109" s="124" t="s">
        <v>93</v>
      </c>
      <c r="B109" s="125">
        <v>20</v>
      </c>
      <c r="C109" s="243">
        <v>2</v>
      </c>
      <c r="D109" s="244">
        <v>28216267</v>
      </c>
      <c r="E109" s="276">
        <f t="shared" si="1"/>
        <v>190.85510616941744</v>
      </c>
      <c r="F109" s="246">
        <f t="shared" si="2"/>
        <v>0.95427553084708716</v>
      </c>
    </row>
    <row r="110" spans="1:10" ht="26.25" customHeight="1" x14ac:dyDescent="0.4">
      <c r="A110" s="124" t="s">
        <v>94</v>
      </c>
      <c r="B110" s="125">
        <v>1</v>
      </c>
      <c r="C110" s="243">
        <v>3</v>
      </c>
      <c r="D110" s="244">
        <v>28608063</v>
      </c>
      <c r="E110" s="276">
        <f t="shared" si="1"/>
        <v>193.50521814832496</v>
      </c>
      <c r="F110" s="246">
        <f t="shared" si="2"/>
        <v>0.96752609074162477</v>
      </c>
    </row>
    <row r="111" spans="1:10" ht="26.25" customHeight="1" x14ac:dyDescent="0.4">
      <c r="A111" s="124" t="s">
        <v>95</v>
      </c>
      <c r="B111" s="125">
        <v>1</v>
      </c>
      <c r="C111" s="243">
        <v>4</v>
      </c>
      <c r="D111" s="244">
        <v>27061139</v>
      </c>
      <c r="E111" s="276">
        <f t="shared" si="1"/>
        <v>183.04180907100016</v>
      </c>
      <c r="F111" s="246">
        <f t="shared" si="2"/>
        <v>0.91520904535500081</v>
      </c>
    </row>
    <row r="112" spans="1:10" ht="26.25" customHeight="1" x14ac:dyDescent="0.4">
      <c r="A112" s="124" t="s">
        <v>96</v>
      </c>
      <c r="B112" s="125">
        <v>1</v>
      </c>
      <c r="C112" s="243">
        <v>5</v>
      </c>
      <c r="D112" s="244">
        <v>27203100</v>
      </c>
      <c r="E112" s="276">
        <f t="shared" si="1"/>
        <v>184.00203466451742</v>
      </c>
      <c r="F112" s="246">
        <f t="shared" si="2"/>
        <v>0.92001017332258717</v>
      </c>
    </row>
    <row r="113" spans="1:10" ht="26.25" customHeight="1" x14ac:dyDescent="0.4">
      <c r="A113" s="124" t="s">
        <v>98</v>
      </c>
      <c r="B113" s="125">
        <v>1</v>
      </c>
      <c r="C113" s="247">
        <v>6</v>
      </c>
      <c r="D113" s="248">
        <v>27241558</v>
      </c>
      <c r="E113" s="277">
        <f t="shared" si="1"/>
        <v>184.26216495294514</v>
      </c>
      <c r="F113" s="249">
        <f t="shared" si="2"/>
        <v>0.9213108247647257</v>
      </c>
    </row>
    <row r="114" spans="1:10" ht="26.25" customHeight="1" x14ac:dyDescent="0.4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187.0425912170937</v>
      </c>
      <c r="F115" s="252">
        <f>AVERAGE(F108:F113)</f>
        <v>0.93521295608546862</v>
      </c>
    </row>
    <row r="116" spans="1:10" ht="27" customHeight="1" x14ac:dyDescent="0.4">
      <c r="A116" s="124" t="s">
        <v>101</v>
      </c>
      <c r="B116" s="156">
        <f>(B115/B114)*(B113/B112)*(B111/B110)*(B109/B108)*B107</f>
        <v>9000</v>
      </c>
      <c r="C116" s="253"/>
      <c r="D116" s="216" t="s">
        <v>82</v>
      </c>
      <c r="E116" s="254">
        <f>STDEV(E108:E113)/E115</f>
        <v>2.2618188034762891E-2</v>
      </c>
      <c r="F116" s="254">
        <f>STDEV(F108:F113)/F115</f>
        <v>2.2618188034762874E-2</v>
      </c>
      <c r="I116" s="98"/>
    </row>
    <row r="117" spans="1:10" ht="27" customHeight="1" x14ac:dyDescent="0.4">
      <c r="A117" s="295" t="s">
        <v>76</v>
      </c>
      <c r="B117" s="296"/>
      <c r="C117" s="255"/>
      <c r="D117" s="256" t="s">
        <v>18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7"/>
      <c r="B118" s="298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104</v>
      </c>
      <c r="B120" s="204" t="s">
        <v>120</v>
      </c>
      <c r="C120" s="299" t="str">
        <f>B20</f>
        <v>Nevirapine USP</v>
      </c>
      <c r="D120" s="299"/>
      <c r="E120" s="205" t="s">
        <v>121</v>
      </c>
      <c r="F120" s="205"/>
      <c r="G120" s="206">
        <f>F115</f>
        <v>0.93521295608546862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300" t="s">
        <v>24</v>
      </c>
      <c r="C122" s="300"/>
      <c r="E122" s="211" t="s">
        <v>25</v>
      </c>
      <c r="F122" s="260"/>
      <c r="G122" s="300" t="s">
        <v>26</v>
      </c>
      <c r="H122" s="300"/>
    </row>
    <row r="123" spans="1:10" ht="69.95" customHeight="1" x14ac:dyDescent="0.3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28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Nevirapine USP</vt:lpstr>
      <vt:lpstr>'Nevirapine USP'!Print_Area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2016-04-29T10:29:05Z</cp:lastPrinted>
  <dcterms:created xsi:type="dcterms:W3CDTF">2005-07-05T10:19:27Z</dcterms:created>
  <dcterms:modified xsi:type="dcterms:W3CDTF">2016-04-29T11:10:45Z</dcterms:modified>
</cp:coreProperties>
</file>