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  <sheet name="SST (3)" sheetId="8" r:id="rId6"/>
    <sheet name="Efavirenz" sheetId="9" r:id="rId7"/>
  </sheets>
  <externalReferences>
    <externalReference r:id="rId8"/>
  </externalReferences>
  <definedNames>
    <definedName name="_xlnm.Print_Area" localSheetId="4">Lamivudine!$A$1:$I$124</definedName>
    <definedName name="_xlnm.Print_Area" localSheetId="2">'Tenofovir Disoproxil Fumarate'!$A$1:$H$124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3" i="3" l="1"/>
  <c r="F51" i="1"/>
  <c r="F30" i="8"/>
  <c r="F51" i="8"/>
  <c r="B41" i="8"/>
  <c r="B42" i="8" s="1"/>
  <c r="B40" i="8"/>
  <c r="B20" i="8"/>
  <c r="B21" i="8" s="1"/>
  <c r="B41" i="1"/>
  <c r="B42" i="1" s="1"/>
  <c r="B40" i="1"/>
  <c r="F30" i="1"/>
  <c r="B20" i="1"/>
  <c r="B21" i="1" s="1"/>
  <c r="B19" i="1"/>
  <c r="D64" i="5" l="1"/>
  <c r="D64" i="9" s="1"/>
  <c r="H67" i="5"/>
  <c r="B18" i="5" l="1"/>
  <c r="B18" i="9" s="1"/>
  <c r="C120" i="9"/>
  <c r="B116" i="9"/>
  <c r="D100" i="9" s="1"/>
  <c r="B98" i="9"/>
  <c r="F97" i="9"/>
  <c r="F98" i="9" s="1"/>
  <c r="D97" i="9"/>
  <c r="D98" i="9" s="1"/>
  <c r="F95" i="9"/>
  <c r="D95" i="9"/>
  <c r="G94" i="9"/>
  <c r="E94" i="9"/>
  <c r="B87" i="9"/>
  <c r="B83" i="9"/>
  <c r="B81" i="9"/>
  <c r="B80" i="9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F44" i="9"/>
  <c r="F45" i="9" s="1"/>
  <c r="D44" i="9"/>
  <c r="D45" i="9" s="1"/>
  <c r="F42" i="9"/>
  <c r="D42" i="9"/>
  <c r="G41" i="9"/>
  <c r="E41" i="9"/>
  <c r="B34" i="9"/>
  <c r="B30" i="9"/>
  <c r="B53" i="8"/>
  <c r="E51" i="8"/>
  <c r="D51" i="8"/>
  <c r="C51" i="8"/>
  <c r="B51" i="8"/>
  <c r="B52" i="8" s="1"/>
  <c r="B39" i="8"/>
  <c r="B32" i="8"/>
  <c r="E30" i="8"/>
  <c r="D30" i="8"/>
  <c r="C30" i="8"/>
  <c r="B30" i="8"/>
  <c r="B31" i="8" s="1"/>
  <c r="B87" i="5"/>
  <c r="I39" i="9" l="1"/>
  <c r="I92" i="9"/>
  <c r="D46" i="9"/>
  <c r="F46" i="9"/>
  <c r="D101" i="9"/>
  <c r="G91" i="9" s="1"/>
  <c r="D99" i="9"/>
  <c r="F99" i="9"/>
  <c r="G39" i="9"/>
  <c r="D49" i="9"/>
  <c r="E40" i="9"/>
  <c r="G38" i="9"/>
  <c r="G40" i="9"/>
  <c r="E38" i="9"/>
  <c r="E39" i="9"/>
  <c r="E92" i="9" l="1"/>
  <c r="E93" i="9"/>
  <c r="G93" i="9"/>
  <c r="E91" i="9"/>
  <c r="D102" i="9"/>
  <c r="G92" i="9"/>
  <c r="G42" i="9"/>
  <c r="D50" i="9"/>
  <c r="E42" i="9"/>
  <c r="D52" i="9"/>
  <c r="D103" i="9" l="1"/>
  <c r="E113" i="9" s="1"/>
  <c r="F113" i="9" s="1"/>
  <c r="E95" i="9"/>
  <c r="D105" i="9"/>
  <c r="G95" i="9"/>
  <c r="D51" i="9"/>
  <c r="E111" i="9" l="1"/>
  <c r="F111" i="9" s="1"/>
  <c r="E110" i="9"/>
  <c r="F110" i="9" s="1"/>
  <c r="E108" i="9"/>
  <c r="F108" i="9" s="1"/>
  <c r="E112" i="9"/>
  <c r="F112" i="9" s="1"/>
  <c r="D104" i="9"/>
  <c r="E109" i="9"/>
  <c r="F109" i="9" s="1"/>
  <c r="F115" i="9" l="1"/>
  <c r="G120" i="9" s="1"/>
  <c r="F117" i="9"/>
  <c r="F116" i="9" l="1"/>
  <c r="D68" i="5"/>
  <c r="D68" i="9" s="1"/>
  <c r="D60" i="5"/>
  <c r="D60" i="9" s="1"/>
  <c r="B45" i="5"/>
  <c r="D4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B30" i="5"/>
  <c r="B34" i="3"/>
  <c r="B53" i="4"/>
  <c r="E51" i="4"/>
  <c r="D51" i="4"/>
  <c r="C51" i="4"/>
  <c r="B51" i="4"/>
  <c r="B52" i="4" s="1"/>
  <c r="B39" i="4"/>
  <c r="B32" i="4"/>
  <c r="E30" i="4"/>
  <c r="D30" i="4"/>
  <c r="C30" i="4"/>
  <c r="B30" i="4"/>
  <c r="B31" i="4" s="1"/>
  <c r="B39" i="1"/>
  <c r="F45" i="5" l="1"/>
  <c r="G38" i="5" s="1"/>
  <c r="I92" i="5"/>
  <c r="D101" i="5"/>
  <c r="D102" i="5" s="1"/>
  <c r="F46" i="5"/>
  <c r="I39" i="5"/>
  <c r="G39" i="5"/>
  <c r="G40" i="5"/>
  <c r="D49" i="5"/>
  <c r="F98" i="5"/>
  <c r="G91" i="5" s="1"/>
  <c r="G94" i="5"/>
  <c r="D44" i="5"/>
  <c r="D45" i="5" s="1"/>
  <c r="D46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5" l="1"/>
  <c r="D37" i="2"/>
  <c r="B57" i="9"/>
  <c r="D25" i="2"/>
  <c r="D33" i="2"/>
  <c r="D41" i="2"/>
  <c r="B49" i="2"/>
  <c r="D26" i="2"/>
  <c r="D34" i="2"/>
  <c r="D42" i="2"/>
  <c r="D50" i="2"/>
  <c r="D30" i="2"/>
  <c r="D38" i="2"/>
  <c r="D29" i="2"/>
  <c r="B57" i="3"/>
  <c r="B69" i="3" s="1"/>
  <c r="B57" i="5"/>
  <c r="B69" i="5" s="1"/>
  <c r="E91" i="5"/>
  <c r="G93" i="5"/>
  <c r="G92" i="5"/>
  <c r="F97" i="3"/>
  <c r="F98" i="3" s="1"/>
  <c r="G91" i="3" s="1"/>
  <c r="F99" i="5"/>
  <c r="D99" i="5"/>
  <c r="I92" i="3"/>
  <c r="D101" i="3"/>
  <c r="E39" i="5"/>
  <c r="E92" i="5"/>
  <c r="E40" i="5"/>
  <c r="E94" i="5"/>
  <c r="E93" i="5"/>
  <c r="G42" i="5"/>
  <c r="I39" i="3"/>
  <c r="D44" i="3"/>
  <c r="D45" i="3" s="1"/>
  <c r="E38" i="3" s="1"/>
  <c r="F45" i="3"/>
  <c r="G38" i="3" s="1"/>
  <c r="D49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9" l="1"/>
  <c r="G65" i="9"/>
  <c r="H65" i="9" s="1"/>
  <c r="G69" i="9"/>
  <c r="H69" i="9" s="1"/>
  <c r="G61" i="9"/>
  <c r="H61" i="9" s="1"/>
  <c r="G64" i="9"/>
  <c r="H64" i="9" s="1"/>
  <c r="G66" i="9"/>
  <c r="H66" i="9" s="1"/>
  <c r="G68" i="9"/>
  <c r="H68" i="9" s="1"/>
  <c r="G70" i="9"/>
  <c r="H70" i="9" s="1"/>
  <c r="G62" i="9"/>
  <c r="H62" i="9" s="1"/>
  <c r="G60" i="9"/>
  <c r="H60" i="9" s="1"/>
  <c r="G95" i="5"/>
  <c r="E91" i="3"/>
  <c r="D102" i="3"/>
  <c r="G92" i="3"/>
  <c r="F99" i="3"/>
  <c r="E94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E39" i="3"/>
  <c r="E40" i="3"/>
  <c r="F46" i="3"/>
  <c r="G41" i="3"/>
  <c r="G40" i="3"/>
  <c r="D99" i="3"/>
  <c r="E92" i="3"/>
  <c r="E93" i="3"/>
  <c r="H72" i="9" l="1"/>
  <c r="H73" i="9" s="1"/>
  <c r="H74" i="9"/>
  <c r="G42" i="3"/>
  <c r="G95" i="3"/>
  <c r="G70" i="5"/>
  <c r="H70" i="5" s="1"/>
  <c r="G66" i="5"/>
  <c r="H66" i="5" s="1"/>
  <c r="G64" i="5"/>
  <c r="H64" i="5" s="1"/>
  <c r="G67" i="5"/>
  <c r="G68" i="5"/>
  <c r="H68" i="5" s="1"/>
  <c r="D51" i="5"/>
  <c r="G61" i="5"/>
  <c r="H61" i="5" s="1"/>
  <c r="G60" i="5"/>
  <c r="H60" i="5" s="1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H72" i="5" l="1"/>
  <c r="G76" i="5" s="1"/>
  <c r="D51" i="3"/>
  <c r="G76" i="9"/>
  <c r="E108" i="3"/>
  <c r="F108" i="3" s="1"/>
  <c r="H74" i="5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2" i="3" l="1"/>
  <c r="G76" i="3" s="1"/>
  <c r="H73" i="5"/>
  <c r="F116" i="5"/>
  <c r="H74" i="3"/>
  <c r="F115" i="3"/>
  <c r="G120" i="3" s="1"/>
  <c r="F117" i="3"/>
  <c r="F116" i="3" l="1"/>
</calcChain>
</file>

<file path=xl/sharedStrings.xml><?xml version="1.0" encoding="utf-8"?>
<sst xmlns="http://schemas.openxmlformats.org/spreadsheetml/2006/main" count="646" uniqueCount="137">
  <si>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</si>
  <si>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</si>
  <si>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</si>
  <si>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</si>
  <si>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</si>
  <si>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</si>
  <si>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</si>
  <si>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</si>
  <si>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</si>
  <si>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</si>
  <si>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</si>
  <si>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</si>
  <si>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</si>
  <si>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</si>
  <si>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</si>
  <si>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</si>
  <si>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</si>
  <si>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</si>
  <si>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</si>
  <si>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</si>
  <si>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</si>
  <si>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</si>
  <si>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</si>
  <si>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</si>
  <si>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</si>
  <si>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</si>
  <si>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</si>
  <si>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</si>
  <si>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</si>
  <si>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</si>
  <si>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</si>
  <si>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</si>
  <si>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</si>
  <si>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</si>
  <si>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</si>
  <si>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</si>
  <si>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</si>
  <si>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</si>
  <si>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</si>
  <si>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</si>
  <si>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</si>
  <si>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</si>
  <si>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</si>
  <si>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</si>
  <si>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</si>
  <si>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</si>
  <si>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</si>
  <si>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</si>
  <si>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</si>
  <si>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</si>
  <si>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</si>
  <si>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</si>
  <si>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</si>
  <si>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</si>
  <si>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</si>
  <si>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</si>
  <si>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</si>
  <si>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</si>
  <si>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</si>
  <si>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</si>
  <si>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</si>
  <si>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</si>
  <si>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</si>
  <si>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</si>
  <si>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</si>
  <si>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</si>
  <si>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</si>
  <si>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</si>
  <si>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</si>
  <si>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</si>
  <si>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</si>
  <si>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</si>
  <si>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</si>
  <si>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</si>
  <si>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</si>
  <si>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</si>
  <si>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</si>
  <si>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</si>
  <si>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</si>
  <si>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</si>
  <si>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</si>
  <si>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</si>
  <si>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</si>
  <si>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</si>
  <si>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</si>
  <si>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</si>
  <si>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</si>
  <si>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</si>
  <si>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</si>
  <si>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</si>
  <si>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</si>
  <si>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</si>
  <si>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</si>
  <si>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</si>
  <si>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</si>
  <si>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</si>
  <si>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</si>
  <si>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</si>
  <si>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</si>
  <si>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</si>
  <si>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</si>
  <si>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</si>
  <si>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</si>
  <si>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</si>
  <si>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</si>
  <si>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</si>
  <si>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</si>
  <si>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</si>
  <si>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</si>
  <si>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</si>
  <si>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</si>
  <si>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</si>
  <si>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</si>
  <si>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</si>
  <si>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</si>
  <si>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</si>
  <si>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</si>
  <si>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</si>
  <si>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</si>
  <si>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</si>
  <si>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</si>
  <si>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</si>
  <si>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</si>
  <si>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</si>
  <si>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</si>
  <si>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</si>
  <si>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</si>
  <si>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</si>
  <si>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EFAVIRENZ 600MG TABLETS</t>
  </si>
  <si>
    <t>EFAVIRENZ</t>
  </si>
  <si>
    <t>Each film-coated tablet contains Efavirenz 600mg</t>
  </si>
  <si>
    <t>Efavirenz</t>
  </si>
  <si>
    <t>E15 3</t>
  </si>
  <si>
    <t>Efavirenz 600mg, Lamivudine 300mg and Tenofovir Disoproxil Fumarate 300mg Tablets</t>
  </si>
  <si>
    <t>NDQD201508143</t>
  </si>
  <si>
    <t>Resolution</t>
  </si>
  <si>
    <t>NQCL-WRS-L3-6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</si>
</sst>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14" fontId="11" fillId="2" borderId="7" xfId="0" applyNumberFormat="1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8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3" fontId="2" fillId="2" borderId="0" xfId="1" applyNumberFormat="1" applyFont="1" applyFill="1"/>
    <xf numFmtId="2" fontId="13" fillId="3" borderId="52" xfId="0" applyNumberFormat="1" applyFont="1" applyFill="1" applyBorder="1" applyAlignment="1" applyProtection="1">
      <alignment horizontal="center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2" fontId="13" fillId="3" borderId="52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5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Tenofovir Disoproxil Fumarate"/>
      <sheetName val="SST (2)"/>
      <sheetName val="Lamivudine"/>
      <sheetName val="SST (3)"/>
      <sheetName val="Efavirenz"/>
      <sheetName val="Sheet1"/>
    </sheetNames>
    <sheetDataSet>
      <sheetData sheetId="0"/>
      <sheetData sheetId="1"/>
      <sheetData sheetId="2">
        <row r="28">
          <cell r="B28">
            <v>99.2</v>
          </cell>
        </row>
        <row r="43">
          <cell r="D43">
            <v>12.45</v>
          </cell>
        </row>
        <row r="45">
          <cell r="B45">
            <v>250</v>
          </cell>
        </row>
        <row r="96">
          <cell r="D96">
            <v>14.09</v>
          </cell>
        </row>
        <row r="98">
          <cell r="B98">
            <v>50</v>
          </cell>
        </row>
      </sheetData>
      <sheetData sheetId="3"/>
      <sheetData sheetId="4"/>
      <sheetData sheetId="5"/>
      <sheetData sheetId="6">
        <row r="43">
          <cell r="D43">
            <v>27.22</v>
          </cell>
        </row>
        <row r="45">
          <cell r="B45">
            <v>250</v>
          </cell>
        </row>
        <row r="96">
          <cell r="D96">
            <v>29.98</v>
          </cell>
        </row>
        <row r="98">
          <cell r="B98">
            <v>62.5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E51" sqref="E51:F51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500" t="s">
        <v>0</v>
      </c>
      <c r="B15" s="500"/>
      <c r="C15" s="500"/>
      <c r="D15" s="500"/>
      <c r="E15" s="500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f>'[1]Tenofovir Disoproxil Fumarate'!B28</f>
        <v>99.2</v>
      </c>
      <c r="C19" s="72"/>
      <c r="D19" s="72"/>
      <c r="E19" s="72"/>
      <c r="F19" s="227"/>
    </row>
    <row r="20" spans="1:6" ht="16.5" customHeight="1">
      <c r="A20" s="7" t="s">
        <v>7</v>
      </c>
      <c r="B20" s="150">
        <f>'[1]Tenofovir Disoproxil Fumarate'!D43</f>
        <v>12.45</v>
      </c>
      <c r="C20" s="72"/>
      <c r="D20" s="72"/>
      <c r="E20" s="72"/>
      <c r="F20" s="227"/>
    </row>
    <row r="21" spans="1:6" ht="16.5" customHeight="1">
      <c r="A21" s="7" t="s">
        <v>9</v>
      </c>
      <c r="B21" s="13">
        <f>B20/'[1]Tenofovir Disoproxil Fumarate'!B45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  <c r="F23" s="16" t="s">
        <v>135</v>
      </c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590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591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591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591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591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592">
        <v>27.911020000000001</v>
      </c>
    </row>
    <row r="30" spans="1:6" ht="16.5" customHeight="1">
      <c r="A30" s="23" t="s">
        <v>17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26">
        <f>AVERAGE(E24:E29)</f>
        <v>7.9731666666666667</v>
      </c>
      <c r="F30" s="26">
        <f>AVERAGE(F24:F29)</f>
        <v>28.084008333333333</v>
      </c>
    </row>
    <row r="31" spans="1:6" ht="16.5" customHeight="1">
      <c r="A31" s="27" t="s">
        <v>18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72"/>
      <c r="D40" s="72"/>
      <c r="E40" s="72"/>
      <c r="F40" s="227"/>
    </row>
    <row r="41" spans="1:6" ht="16.5" customHeight="1">
      <c r="A41" s="7" t="s">
        <v>7</v>
      </c>
      <c r="B41" s="12">
        <f>'[1]Tenofovir Disoproxil Fumarate'!D96</f>
        <v>14.09</v>
      </c>
      <c r="C41" s="72"/>
      <c r="D41" s="72"/>
      <c r="E41" s="72"/>
      <c r="F41" s="227"/>
    </row>
    <row r="42" spans="1:6" ht="16.5" customHeight="1">
      <c r="A42" s="7" t="s">
        <v>9</v>
      </c>
      <c r="B42" s="13">
        <f>B41/'[1]Tenofovir Disoproxil Fumarate'!B98</f>
        <v>0.28179999999999999</v>
      </c>
      <c r="C42" s="72"/>
      <c r="D42" s="72"/>
      <c r="E42" s="72"/>
      <c r="F42" s="227"/>
    </row>
    <row r="43" spans="1:6" ht="15.75" customHeight="1">
      <c r="A43" s="10"/>
      <c r="B43" s="72"/>
      <c r="C43" s="72"/>
      <c r="D43" s="72"/>
      <c r="E43" s="72"/>
      <c r="F43" s="227"/>
    </row>
    <row r="44" spans="1:6" ht="16.5" customHeight="1">
      <c r="A44" s="14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  <c r="F44" s="16" t="s">
        <v>135</v>
      </c>
    </row>
    <row r="45" spans="1:6" ht="16.5" customHeight="1">
      <c r="A45" s="17">
        <v>1</v>
      </c>
      <c r="B45" s="18">
        <v>88520300</v>
      </c>
      <c r="C45" s="18">
        <v>121741.1</v>
      </c>
      <c r="D45" s="19">
        <v>1.1000000000000001</v>
      </c>
      <c r="E45" s="20">
        <v>8</v>
      </c>
      <c r="F45" s="20">
        <v>24.5</v>
      </c>
    </row>
    <row r="46" spans="1:6" ht="16.5" customHeight="1">
      <c r="A46" s="17">
        <v>2</v>
      </c>
      <c r="B46" s="18">
        <v>88828282</v>
      </c>
      <c r="C46" s="18">
        <v>120509.6</v>
      </c>
      <c r="D46" s="19">
        <v>1</v>
      </c>
      <c r="E46" s="19">
        <v>8</v>
      </c>
      <c r="F46" s="19">
        <v>24.3</v>
      </c>
    </row>
    <row r="47" spans="1:6" ht="16.5" customHeight="1">
      <c r="A47" s="17">
        <v>3</v>
      </c>
      <c r="B47" s="18">
        <v>89013134</v>
      </c>
      <c r="C47" s="18">
        <v>120452.2</v>
      </c>
      <c r="D47" s="19">
        <v>1.1000000000000001</v>
      </c>
      <c r="E47" s="19">
        <v>8</v>
      </c>
      <c r="F47" s="19">
        <v>24.2</v>
      </c>
    </row>
    <row r="48" spans="1:6" ht="16.5" customHeight="1">
      <c r="A48" s="17">
        <v>4</v>
      </c>
      <c r="B48" s="18">
        <v>89050331</v>
      </c>
      <c r="C48" s="18">
        <v>119982.3</v>
      </c>
      <c r="D48" s="19">
        <v>1.1000000000000001</v>
      </c>
      <c r="E48" s="19">
        <v>8</v>
      </c>
      <c r="F48" s="19">
        <v>24.1</v>
      </c>
    </row>
    <row r="49" spans="1:7" ht="16.5" customHeight="1">
      <c r="A49" s="17">
        <v>5</v>
      </c>
      <c r="B49" s="18">
        <v>89141753</v>
      </c>
      <c r="C49" s="18">
        <v>120266.8</v>
      </c>
      <c r="D49" s="19">
        <v>1.1000000000000001</v>
      </c>
      <c r="E49" s="19">
        <v>8</v>
      </c>
      <c r="F49" s="19">
        <v>24.1</v>
      </c>
    </row>
    <row r="50" spans="1:7" ht="16.5" customHeight="1">
      <c r="A50" s="17">
        <v>6</v>
      </c>
      <c r="B50" s="21">
        <v>89183669</v>
      </c>
      <c r="C50" s="21">
        <v>119664.5</v>
      </c>
      <c r="D50" s="22">
        <v>1.1000000000000001</v>
      </c>
      <c r="E50" s="22">
        <v>8</v>
      </c>
      <c r="F50" s="22">
        <v>24</v>
      </c>
    </row>
    <row r="51" spans="1:7" ht="16.5" customHeight="1">
      <c r="A51" s="23" t="s">
        <v>17</v>
      </c>
      <c r="B51" s="24">
        <f>AVERAGE(B45:B50)</f>
        <v>88956244.833333328</v>
      </c>
      <c r="C51" s="25">
        <f>AVERAGE(C45:C50)</f>
        <v>120436.08333333333</v>
      </c>
      <c r="D51" s="26">
        <f>AVERAGE(D45:D50)</f>
        <v>1.0833333333333333</v>
      </c>
      <c r="E51" s="26">
        <f>AVERAGE(E45:E50)</f>
        <v>8</v>
      </c>
      <c r="F51" s="26">
        <f>AVERAGE(F45:F50)</f>
        <v>24.2</v>
      </c>
    </row>
    <row r="52" spans="1:7" ht="16.5" customHeight="1">
      <c r="A52" s="27" t="s">
        <v>18</v>
      </c>
      <c r="B52" s="28">
        <f>(STDEV(B45:B50)/B51)</f>
        <v>2.774829458271445E-3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501" t="s">
        <v>25</v>
      </c>
      <c r="C59" s="501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289">
        <v>42045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31" sqref="C31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05" t="s">
        <v>30</v>
      </c>
      <c r="B11" s="506"/>
      <c r="C11" s="506"/>
      <c r="D11" s="506"/>
      <c r="E11" s="506"/>
      <c r="F11" s="507"/>
      <c r="G11" s="91"/>
    </row>
    <row r="12" spans="1:7" ht="16.5" customHeight="1">
      <c r="A12" s="504" t="s">
        <v>31</v>
      </c>
      <c r="B12" s="504"/>
      <c r="C12" s="504"/>
      <c r="D12" s="504"/>
      <c r="E12" s="504"/>
      <c r="F12" s="504"/>
      <c r="G12" s="90"/>
    </row>
    <row r="14" spans="1:7" ht="16.5" customHeight="1">
      <c r="A14" s="509" t="s">
        <v>32</v>
      </c>
      <c r="B14" s="509"/>
      <c r="C14" s="60" t="s">
        <v>5</v>
      </c>
    </row>
    <row r="15" spans="1:7" ht="16.5" customHeight="1">
      <c r="A15" s="509" t="s">
        <v>33</v>
      </c>
      <c r="B15" s="509"/>
      <c r="C15" s="60" t="s">
        <v>134</v>
      </c>
    </row>
    <row r="16" spans="1:7" ht="16.5" customHeight="1">
      <c r="A16" s="509" t="s">
        <v>34</v>
      </c>
      <c r="B16" s="509"/>
      <c r="C16" s="60" t="s">
        <v>8</v>
      </c>
    </row>
    <row r="17" spans="1:5" ht="16.5" customHeight="1">
      <c r="A17" s="509" t="s">
        <v>35</v>
      </c>
      <c r="B17" s="509"/>
      <c r="C17" s="60" t="s">
        <v>10</v>
      </c>
    </row>
    <row r="18" spans="1:5" ht="16.5" customHeight="1">
      <c r="A18" s="509" t="s">
        <v>36</v>
      </c>
      <c r="B18" s="509"/>
      <c r="C18" s="97" t="s">
        <v>11</v>
      </c>
    </row>
    <row r="19" spans="1:5" ht="16.5" customHeight="1">
      <c r="A19" s="509" t="s">
        <v>37</v>
      </c>
      <c r="B19" s="509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504" t="s">
        <v>1</v>
      </c>
      <c r="B21" s="504"/>
      <c r="C21" s="59" t="s">
        <v>38</v>
      </c>
      <c r="D21" s="66"/>
    </row>
    <row r="22" spans="1:5" ht="15.75" customHeight="1">
      <c r="A22" s="508"/>
      <c r="B22" s="508"/>
      <c r="C22" s="57"/>
      <c r="D22" s="508"/>
      <c r="E22" s="508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1899.41</v>
      </c>
      <c r="D24" s="87">
        <f t="shared" ref="D24:D43" si="0">(C24-$C$46)/$C$46</f>
        <v>2.2354153854517458E-3</v>
      </c>
      <c r="E24" s="53"/>
    </row>
    <row r="25" spans="1:5" ht="15.75" customHeight="1">
      <c r="C25" s="95">
        <v>1882.91</v>
      </c>
      <c r="D25" s="88">
        <f t="shared" si="0"/>
        <v>-6.4709115022975831E-3</v>
      </c>
      <c r="E25" s="53"/>
    </row>
    <row r="26" spans="1:5" ht="15.75" customHeight="1">
      <c r="C26" s="95">
        <v>1887.55</v>
      </c>
      <c r="D26" s="88">
        <f t="shared" si="0"/>
        <v>-4.0225868502275367E-3</v>
      </c>
      <c r="E26" s="53"/>
    </row>
    <row r="27" spans="1:5" ht="15.75" customHeight="1">
      <c r="C27" s="95">
        <v>1887.37</v>
      </c>
      <c r="D27" s="88">
        <f t="shared" si="0"/>
        <v>-4.1175649617302898E-3</v>
      </c>
      <c r="E27" s="53"/>
    </row>
    <row r="28" spans="1:5" ht="15.75" customHeight="1">
      <c r="C28" s="95">
        <v>1914.29</v>
      </c>
      <c r="D28" s="88">
        <f t="shared" si="0"/>
        <v>1.0086939269676532E-2</v>
      </c>
      <c r="E28" s="53"/>
    </row>
    <row r="29" spans="1:5" ht="15.75" customHeight="1">
      <c r="C29" s="95">
        <v>1898.18</v>
      </c>
      <c r="D29" s="88">
        <f t="shared" si="0"/>
        <v>1.5863982901831496E-3</v>
      </c>
      <c r="E29" s="53"/>
    </row>
    <row r="30" spans="1:5" ht="15.75" customHeight="1">
      <c r="C30" s="95">
        <v>1864.22</v>
      </c>
      <c r="D30" s="88">
        <f t="shared" si="0"/>
        <v>-1.6332805413330036E-2</v>
      </c>
      <c r="E30" s="53"/>
    </row>
    <row r="31" spans="1:5" ht="15.75" customHeight="1">
      <c r="C31" s="95">
        <v>1893.41</v>
      </c>
      <c r="D31" s="88">
        <f t="shared" si="0"/>
        <v>-9.3052166463891955E-4</v>
      </c>
      <c r="E31" s="53"/>
    </row>
    <row r="32" spans="1:5" ht="15.75" customHeight="1">
      <c r="C32" s="95">
        <v>1914.76</v>
      </c>
      <c r="D32" s="88">
        <f t="shared" si="0"/>
        <v>1.033493767193365E-2</v>
      </c>
      <c r="E32" s="53"/>
    </row>
    <row r="33" spans="1:7" ht="15.75" customHeight="1">
      <c r="C33" s="95">
        <v>1877.57</v>
      </c>
      <c r="D33" s="88">
        <f t="shared" si="0"/>
        <v>-9.288595476878353E-3</v>
      </c>
      <c r="E33" s="53"/>
    </row>
    <row r="34" spans="1:7" ht="15.75" customHeight="1">
      <c r="C34" s="95">
        <v>1901.57</v>
      </c>
      <c r="D34" s="88">
        <f t="shared" si="0"/>
        <v>3.3751527234843082E-3</v>
      </c>
      <c r="E34" s="53"/>
    </row>
    <row r="35" spans="1:7" ht="15.75" customHeight="1">
      <c r="C35" s="95">
        <v>1924.62</v>
      </c>
      <c r="D35" s="88">
        <f t="shared" si="0"/>
        <v>1.553762755758259E-2</v>
      </c>
      <c r="E35" s="53"/>
    </row>
    <row r="36" spans="1:7" ht="15.75" customHeight="1">
      <c r="C36" s="95">
        <v>1927.86</v>
      </c>
      <c r="D36" s="88">
        <f t="shared" si="0"/>
        <v>1.7247233564631554E-2</v>
      </c>
      <c r="E36" s="53"/>
    </row>
    <row r="37" spans="1:7" ht="15.75" customHeight="1">
      <c r="C37" s="95">
        <v>1898.64</v>
      </c>
      <c r="D37" s="88">
        <f t="shared" si="0"/>
        <v>1.8291201306901198E-3</v>
      </c>
      <c r="E37" s="53"/>
    </row>
    <row r="38" spans="1:7" ht="15.75" customHeight="1">
      <c r="C38" s="95">
        <v>1910.82</v>
      </c>
      <c r="D38" s="88">
        <f t="shared" si="0"/>
        <v>8.2559723423740843E-3</v>
      </c>
      <c r="E38" s="53"/>
    </row>
    <row r="39" spans="1:7" ht="15.75" customHeight="1">
      <c r="C39" s="95">
        <v>1884.45</v>
      </c>
      <c r="D39" s="88">
        <f t="shared" si="0"/>
        <v>-5.658320992774332E-3</v>
      </c>
      <c r="E39" s="53"/>
    </row>
    <row r="40" spans="1:7" ht="15.75" customHeight="1">
      <c r="C40" s="95">
        <v>1906.21</v>
      </c>
      <c r="D40" s="88">
        <f t="shared" si="0"/>
        <v>5.8234773755544752E-3</v>
      </c>
      <c r="E40" s="53"/>
    </row>
    <row r="41" spans="1:7" ht="15.75" customHeight="1">
      <c r="C41" s="95">
        <v>1882.96</v>
      </c>
      <c r="D41" s="88">
        <f t="shared" si="0"/>
        <v>-6.4445286935468516E-3</v>
      </c>
      <c r="E41" s="53"/>
    </row>
    <row r="42" spans="1:7" ht="15.75" customHeight="1">
      <c r="C42" s="95">
        <v>1871.15</v>
      </c>
      <c r="D42" s="88">
        <f t="shared" si="0"/>
        <v>-1.2676148120475282E-2</v>
      </c>
      <c r="E42" s="53"/>
    </row>
    <row r="43" spans="1:7" ht="16.5" customHeight="1">
      <c r="C43" s="96">
        <v>1875.52</v>
      </c>
      <c r="D43" s="89">
        <f t="shared" si="0"/>
        <v>-1.0370290635659305E-2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37903.469999999994</v>
      </c>
      <c r="D45" s="78"/>
      <c r="E45" s="54"/>
    </row>
    <row r="46" spans="1:7" ht="17.25" customHeight="1">
      <c r="B46" s="82" t="s">
        <v>42</v>
      </c>
      <c r="C46" s="84">
        <f>AVERAGE(C24:C44)</f>
        <v>1895.1734999999996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502">
        <f>C46</f>
        <v>1895.1734999999996</v>
      </c>
      <c r="C49" s="93">
        <f>-IF(C46&lt;=80,10%,IF(C46&lt;250,7.5%,5%))</f>
        <v>-0.05</v>
      </c>
      <c r="D49" s="81">
        <f>IF(C46&lt;=80,C46*0.9,IF(C46&lt;250,C46*0.925,C46*0.95))</f>
        <v>1800.4148249999996</v>
      </c>
    </row>
    <row r="50" spans="1:6" ht="17.25" customHeight="1">
      <c r="B50" s="503"/>
      <c r="C50" s="94">
        <f>IF(C46&lt;=80, 10%, IF(C46&lt;250, 7.5%, 5%))</f>
        <v>0.05</v>
      </c>
      <c r="D50" s="81">
        <f>IF(C46&lt;=80, C46*1.1, IF(C46&lt;250, C46*1.075, C46*1.05))</f>
        <v>1989.9321749999997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290">
        <v>42045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58" zoomScale="60" zoomScaleNormal="40" zoomScalePageLayoutView="70" workbookViewId="0">
      <selection activeCell="H78" sqref="H78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3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10" t="s">
        <v>44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>
      <c r="A7" s="510"/>
      <c r="B7" s="510"/>
      <c r="C7" s="510"/>
      <c r="D7" s="510"/>
      <c r="E7" s="510"/>
      <c r="F7" s="510"/>
      <c r="G7" s="510"/>
      <c r="H7" s="510"/>
      <c r="I7" s="510"/>
    </row>
    <row r="8" spans="1:9">
      <c r="A8" s="511" t="s">
        <v>45</v>
      </c>
      <c r="B8" s="511"/>
      <c r="C8" s="511"/>
      <c r="D8" s="511"/>
      <c r="E8" s="511"/>
      <c r="F8" s="511"/>
      <c r="G8" s="511"/>
      <c r="H8" s="511"/>
      <c r="I8" s="511"/>
    </row>
    <row r="9" spans="1:9">
      <c r="A9" s="511"/>
      <c r="B9" s="511"/>
      <c r="C9" s="511"/>
      <c r="D9" s="511"/>
      <c r="E9" s="511"/>
      <c r="F9" s="511"/>
      <c r="G9" s="511"/>
      <c r="H9" s="511"/>
      <c r="I9" s="511"/>
    </row>
    <row r="10" spans="1:9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>
      <c r="A15" s="98"/>
    </row>
    <row r="16" spans="1:9" ht="19.5" customHeight="1">
      <c r="A16" s="544" t="s">
        <v>30</v>
      </c>
      <c r="B16" s="545"/>
      <c r="C16" s="545"/>
      <c r="D16" s="545"/>
      <c r="E16" s="545"/>
      <c r="F16" s="545"/>
      <c r="G16" s="545"/>
      <c r="H16" s="546"/>
    </row>
    <row r="17" spans="1:14" ht="20.25" customHeight="1">
      <c r="A17" s="547" t="s">
        <v>46</v>
      </c>
      <c r="B17" s="547"/>
      <c r="C17" s="547"/>
      <c r="D17" s="547"/>
      <c r="E17" s="547"/>
      <c r="F17" s="547"/>
      <c r="G17" s="547"/>
      <c r="H17" s="547"/>
    </row>
    <row r="18" spans="1:14" ht="26.25" customHeight="1">
      <c r="A18" s="100" t="s">
        <v>32</v>
      </c>
      <c r="B18" s="543" t="s">
        <v>133</v>
      </c>
      <c r="C18" s="543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48" t="s">
        <v>124</v>
      </c>
      <c r="C20" s="548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48" t="s">
        <v>10</v>
      </c>
      <c r="C21" s="548"/>
      <c r="D21" s="548"/>
      <c r="E21" s="548"/>
      <c r="F21" s="548"/>
      <c r="G21" s="548"/>
      <c r="H21" s="548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543" t="s">
        <v>124</v>
      </c>
      <c r="C26" s="543"/>
    </row>
    <row r="27" spans="1:14" ht="26.25" customHeight="1">
      <c r="A27" s="109" t="s">
        <v>47</v>
      </c>
      <c r="B27" s="541" t="s">
        <v>127</v>
      </c>
      <c r="C27" s="541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518" t="s">
        <v>49</v>
      </c>
      <c r="D29" s="519"/>
      <c r="E29" s="519"/>
      <c r="F29" s="519"/>
      <c r="G29" s="520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521" t="s">
        <v>52</v>
      </c>
      <c r="D31" s="522"/>
      <c r="E31" s="522"/>
      <c r="F31" s="522"/>
      <c r="G31" s="522"/>
      <c r="H31" s="523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521" t="s">
        <v>54</v>
      </c>
      <c r="D32" s="522"/>
      <c r="E32" s="522"/>
      <c r="F32" s="522"/>
      <c r="G32" s="522"/>
      <c r="H32" s="523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524" t="s">
        <v>58</v>
      </c>
      <c r="E36" s="542"/>
      <c r="F36" s="524" t="s">
        <v>59</v>
      </c>
      <c r="G36" s="525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526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526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512" t="s">
        <v>77</v>
      </c>
      <c r="B46" s="513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514"/>
      <c r="B47" s="515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1895.1734999999996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529" t="s">
        <v>93</v>
      </c>
      <c r="D60" s="532">
        <v>1927.81</v>
      </c>
      <c r="E60" s="182">
        <v>1</v>
      </c>
      <c r="F60" s="183"/>
      <c r="G60" s="273" t="str">
        <f>IF(ISBLANK(F60),"-",(F60/$D$50*$D$47*$B$68)*($B$57/$D$60))</f>
        <v>-</v>
      </c>
      <c r="H60" s="184" t="str">
        <f>IF(ISBLANK(F60),"-",G60/$B$56)</f>
        <v>-</v>
      </c>
      <c r="L60" s="112"/>
    </row>
    <row r="61" spans="1:12" s="14" customFormat="1" ht="26.25" customHeight="1">
      <c r="A61" s="124" t="s">
        <v>94</v>
      </c>
      <c r="B61" s="125">
        <v>250</v>
      </c>
      <c r="C61" s="530"/>
      <c r="D61" s="533"/>
      <c r="E61" s="185">
        <v>2</v>
      </c>
      <c r="F61" s="137"/>
      <c r="G61" s="274" t="str">
        <f>IF(ISBLANK(F61),"-",(F61/$D$50*$D$47*$B$68)*($B$57/$D$60))</f>
        <v>-</v>
      </c>
      <c r="H61" s="186" t="str">
        <f t="shared" ref="H61:H71" si="0">IF(ISBLANK(F61),"-",G61/$B$56)</f>
        <v>-</v>
      </c>
      <c r="L61" s="112"/>
    </row>
    <row r="62" spans="1:12" s="14" customFormat="1" ht="26.25" customHeight="1">
      <c r="A62" s="124" t="s">
        <v>95</v>
      </c>
      <c r="B62" s="125">
        <v>1</v>
      </c>
      <c r="C62" s="530"/>
      <c r="D62" s="533"/>
      <c r="E62" s="185">
        <v>3</v>
      </c>
      <c r="F62" s="187"/>
      <c r="G62" s="274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>
      <c r="A63" s="124" t="s">
        <v>96</v>
      </c>
      <c r="B63" s="125">
        <v>1</v>
      </c>
      <c r="C63" s="540"/>
      <c r="D63" s="534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29" t="s">
        <v>98</v>
      </c>
      <c r="D64" s="532">
        <v>1861.2</v>
      </c>
      <c r="E64" s="182">
        <v>1</v>
      </c>
      <c r="F64" s="183">
        <v>38431777</v>
      </c>
      <c r="G64" s="275">
        <f>IF(ISBLANK(F64),"-",(F64/$D$50*$D$47*$B$68)*($B$57/$D$64))</f>
        <v>289.3554256426055</v>
      </c>
      <c r="H64" s="190">
        <f>IF(ISBLANK(F64),"-",G64/$B$56)</f>
        <v>0.96451808547535167</v>
      </c>
    </row>
    <row r="65" spans="1:8" ht="26.25" customHeight="1">
      <c r="A65" s="124" t="s">
        <v>99</v>
      </c>
      <c r="B65" s="125">
        <v>1</v>
      </c>
      <c r="C65" s="530"/>
      <c r="D65" s="533"/>
      <c r="E65" s="185">
        <v>2</v>
      </c>
      <c r="F65" s="137">
        <v>38984865</v>
      </c>
      <c r="G65" s="276">
        <f>IF(ISBLANK(F65),"-",(F65/$D$50*$D$47*$B$68)*($B$57/$D$64))</f>
        <v>293.51966227568687</v>
      </c>
      <c r="H65" s="191">
        <f t="shared" si="0"/>
        <v>0.97839887425228955</v>
      </c>
    </row>
    <row r="66" spans="1:8" ht="26.25" customHeight="1">
      <c r="A66" s="124" t="s">
        <v>100</v>
      </c>
      <c r="B66" s="125">
        <v>1</v>
      </c>
      <c r="C66" s="530"/>
      <c r="D66" s="533"/>
      <c r="E66" s="185">
        <v>3</v>
      </c>
      <c r="F66" s="137">
        <v>39132007</v>
      </c>
      <c r="G66" s="276">
        <f>IF(ISBLANK(F66),"-",(F66/$D$50*$D$47*$B$68)*($B$57/$D$64))</f>
        <v>294.62750425863516</v>
      </c>
      <c r="H66" s="191">
        <f t="shared" si="0"/>
        <v>0.98209168086211718</v>
      </c>
    </row>
    <row r="67" spans="1:8" ht="27" customHeight="1">
      <c r="A67" s="124" t="s">
        <v>101</v>
      </c>
      <c r="B67" s="125">
        <v>1</v>
      </c>
      <c r="C67" s="540"/>
      <c r="D67" s="534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29" t="s">
        <v>103</v>
      </c>
      <c r="D68" s="532">
        <v>1888.16</v>
      </c>
      <c r="E68" s="182">
        <v>1</v>
      </c>
      <c r="F68" s="183">
        <v>40549237</v>
      </c>
      <c r="G68" s="275">
        <f>IF(ISBLANK(F68),"-",(F68/$D$50*$D$47*$B$68)*($B$57/$D$68))</f>
        <v>300.93874250406066</v>
      </c>
      <c r="H68" s="186">
        <f>IF(ISBLANK(F68),"-",G68/$B$56)</f>
        <v>1.0031291416802022</v>
      </c>
    </row>
    <row r="69" spans="1:8" ht="27" customHeight="1">
      <c r="A69" s="172" t="s">
        <v>104</v>
      </c>
      <c r="B69" s="194">
        <f>(D47*B68)/B56*B57</f>
        <v>1895.1734999999996</v>
      </c>
      <c r="C69" s="530"/>
      <c r="D69" s="533"/>
      <c r="E69" s="185">
        <v>2</v>
      </c>
      <c r="F69" s="137">
        <v>40660021</v>
      </c>
      <c r="G69" s="276">
        <f>IF(ISBLANK(F69),"-",(F69/$D$50*$D$47*$B$68)*($B$57/$D$68))</f>
        <v>301.76093300913902</v>
      </c>
      <c r="H69" s="186">
        <f t="shared" si="0"/>
        <v>1.0058697766971301</v>
      </c>
    </row>
    <row r="70" spans="1:8" ht="26.25" customHeight="1">
      <c r="A70" s="535" t="s">
        <v>77</v>
      </c>
      <c r="B70" s="536"/>
      <c r="C70" s="530"/>
      <c r="D70" s="533"/>
      <c r="E70" s="185">
        <v>3</v>
      </c>
      <c r="F70" s="137">
        <v>40738618</v>
      </c>
      <c r="G70" s="276">
        <f>IF(ISBLANK(F70),"-",(F70/$D$50*$D$47*$B$68)*($B$57/$D$68))</f>
        <v>302.34424564568974</v>
      </c>
      <c r="H70" s="186">
        <f t="shared" si="0"/>
        <v>1.0078141521522992</v>
      </c>
    </row>
    <row r="71" spans="1:8" ht="27" customHeight="1">
      <c r="A71" s="537"/>
      <c r="B71" s="538"/>
      <c r="C71" s="531"/>
      <c r="D71" s="534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0.99030361851989834</v>
      </c>
    </row>
    <row r="73" spans="1:8" ht="26.25" customHeight="1">
      <c r="C73" s="196"/>
      <c r="D73" s="196"/>
      <c r="E73" s="196"/>
      <c r="F73" s="197"/>
      <c r="G73" s="200" t="s">
        <v>83</v>
      </c>
      <c r="H73" s="278">
        <f>STDEV(H60:H71)/H72</f>
        <v>1.7992830500095338E-2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6</v>
      </c>
    </row>
    <row r="76" spans="1:8" ht="26.25" customHeight="1">
      <c r="A76" s="108" t="s">
        <v>105</v>
      </c>
      <c r="B76" s="204" t="s">
        <v>106</v>
      </c>
      <c r="C76" s="516" t="str">
        <f>B20</f>
        <v>Tenofovir Disoproxil Fumarate</v>
      </c>
      <c r="D76" s="516"/>
      <c r="E76" s="205" t="s">
        <v>107</v>
      </c>
      <c r="F76" s="205"/>
      <c r="G76" s="206">
        <f>H72</f>
        <v>0.99030361851989834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539" t="str">
        <f>B26</f>
        <v>Tenofovir Disoproxil Fumarate</v>
      </c>
      <c r="C79" s="539"/>
    </row>
    <row r="80" spans="1:8" ht="26.25" customHeight="1">
      <c r="A80" s="109" t="s">
        <v>47</v>
      </c>
      <c r="B80" s="539" t="str">
        <f>B27</f>
        <v>T11 5</v>
      </c>
      <c r="C80" s="539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518" t="s">
        <v>49</v>
      </c>
      <c r="D82" s="519"/>
      <c r="E82" s="519"/>
      <c r="F82" s="519"/>
      <c r="G82" s="520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521" t="s">
        <v>110</v>
      </c>
      <c r="D84" s="522"/>
      <c r="E84" s="522"/>
      <c r="F84" s="522"/>
      <c r="G84" s="522"/>
      <c r="H84" s="523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521" t="s">
        <v>111</v>
      </c>
      <c r="D85" s="522"/>
      <c r="E85" s="522"/>
      <c r="F85" s="522"/>
      <c r="G85" s="522"/>
      <c r="H85" s="523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524" t="s">
        <v>59</v>
      </c>
      <c r="G89" s="525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88451526</v>
      </c>
      <c r="E91" s="133">
        <f>IF(ISBLANK(D91),"-",$D$101/$D$98*D91)</f>
        <v>94923539.486938789</v>
      </c>
      <c r="F91" s="132">
        <v>95208023</v>
      </c>
      <c r="G91" s="134">
        <f>IF(ISBLANK(F91),"-",$D$101/$F$98*F91)</f>
        <v>95848032.260749117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88372328</v>
      </c>
      <c r="E92" s="138">
        <f>IF(ISBLANK(D92),"-",$D$101/$D$98*D92)</f>
        <v>94838546.555553004</v>
      </c>
      <c r="F92" s="137">
        <v>95217190</v>
      </c>
      <c r="G92" s="139">
        <f>IF(ISBLANK(F92),"-",$D$101/$F$98*F92)</f>
        <v>95857260.883338362</v>
      </c>
      <c r="I92" s="526">
        <f>ABS((F96/D96*D95)-F95)/D95</f>
        <v>1.0988933581419896E-2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88630162</v>
      </c>
      <c r="E93" s="138">
        <f>IF(ISBLANK(D93),"-",$D$101/$D$98*D93)</f>
        <v>95115246.314018175</v>
      </c>
      <c r="F93" s="137">
        <v>95466955</v>
      </c>
      <c r="G93" s="139">
        <f>IF(ISBLANK(F93),"-",$D$101/$F$98*F93)</f>
        <v>96108704.858575672</v>
      </c>
      <c r="I93" s="526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88484672</v>
      </c>
      <c r="E95" s="148">
        <f>AVERAGE(E91:E94)</f>
        <v>94959110.785503328</v>
      </c>
      <c r="F95" s="218">
        <f>AVERAGE(F91:F94)</f>
        <v>95297389.333333328</v>
      </c>
      <c r="G95" s="219">
        <f>AVERAGE(G91:G94)</f>
        <v>95937999.33422105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594">
        <v>14.09</v>
      </c>
      <c r="E96" s="140"/>
      <c r="F96" s="595">
        <v>15.02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14.09</v>
      </c>
      <c r="E97" s="155"/>
      <c r="F97" s="154">
        <f>F96*$B$87</f>
        <v>15.02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13.97728</v>
      </c>
      <c r="E98" s="158"/>
      <c r="F98" s="157">
        <f>F97*$B$83/100</f>
        <v>14.899839999999999</v>
      </c>
    </row>
    <row r="99" spans="1:10" ht="19.5" customHeight="1">
      <c r="A99" s="512" t="s">
        <v>77</v>
      </c>
      <c r="B99" s="527"/>
      <c r="C99" s="222" t="s">
        <v>115</v>
      </c>
      <c r="D99" s="226">
        <f>D98/$B$98</f>
        <v>0.27954560000000001</v>
      </c>
      <c r="E99" s="158"/>
      <c r="F99" s="161">
        <f>F98/$B$98</f>
        <v>0.29799680000000001</v>
      </c>
      <c r="G99" s="227"/>
      <c r="H99" s="150"/>
    </row>
    <row r="100" spans="1:10" ht="19.5" customHeight="1">
      <c r="A100" s="514"/>
      <c r="B100" s="528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95448555.059862196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5.7789417548531922E-3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103226221</v>
      </c>
      <c r="E108" s="279">
        <f>IF(ISBLANK(D108),"-",D108/$D$103*$D$100*$B$116)</f>
        <v>324.44562707709895</v>
      </c>
      <c r="F108" s="245">
        <f>IF(ISBLANK(D108), "-", E108/$B$56)</f>
        <v>1.0814854235903297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104272974</v>
      </c>
      <c r="E109" s="280">
        <f t="shared" ref="E109:E113" si="1">IF(ISBLANK(D109),"-",D109/$D$103*$D$100*$B$116)</f>
        <v>327.73562868899404</v>
      </c>
      <c r="F109" s="246">
        <f t="shared" ref="F109:F113" si="2">IF(ISBLANK(D109), "-", E109/$B$56)</f>
        <v>1.0924520956299801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102600568</v>
      </c>
      <c r="E110" s="280">
        <f t="shared" si="1"/>
        <v>322.47916566883265</v>
      </c>
      <c r="F110" s="246">
        <f>IF(ISBLANK(D110), "-", E110/$B$56)</f>
        <v>1.0749305522294421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104157298</v>
      </c>
      <c r="E111" s="280">
        <f t="shared" si="1"/>
        <v>327.37205272937649</v>
      </c>
      <c r="F111" s="246">
        <f t="shared" si="2"/>
        <v>1.0912401757645882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103223626</v>
      </c>
      <c r="E112" s="280">
        <f t="shared" si="1"/>
        <v>324.43747085095691</v>
      </c>
      <c r="F112" s="246">
        <f>IF(ISBLANK(D112), "-", E112/$B$56)</f>
        <v>1.0814582361698564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103043962</v>
      </c>
      <c r="E113" s="281">
        <f t="shared" si="1"/>
        <v>323.87277712703212</v>
      </c>
      <c r="F113" s="249">
        <f t="shared" si="2"/>
        <v>1.0795759237567737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1.0835237345234952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6.3555003884731417E-3</v>
      </c>
      <c r="I116" s="98"/>
    </row>
    <row r="117" spans="1:10" ht="27" customHeight="1">
      <c r="A117" s="512" t="s">
        <v>77</v>
      </c>
      <c r="B117" s="513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514"/>
      <c r="B118" s="515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516" t="str">
        <f>B20</f>
        <v>Tenofovir Disoproxil Fumarate</v>
      </c>
      <c r="D120" s="516"/>
      <c r="E120" s="205" t="s">
        <v>123</v>
      </c>
      <c r="F120" s="205"/>
      <c r="G120" s="206">
        <f>F115</f>
        <v>1.0835237345234952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517" t="s">
        <v>25</v>
      </c>
      <c r="C122" s="517"/>
      <c r="E122" s="211" t="s">
        <v>26</v>
      </c>
      <c r="F122" s="263"/>
      <c r="G122" s="517" t="s">
        <v>27</v>
      </c>
      <c r="H122" s="517"/>
    </row>
    <row r="123" spans="1:10" ht="69.95" customHeight="1">
      <c r="A123" s="264" t="s">
        <v>28</v>
      </c>
      <c r="B123" s="265" t="s">
        <v>125</v>
      </c>
      <c r="C123" s="265"/>
      <c r="E123" s="291">
        <v>42045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2.1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D50" sqref="D50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500" t="s">
        <v>0</v>
      </c>
      <c r="B15" s="500"/>
      <c r="C15" s="500"/>
      <c r="D15" s="500"/>
      <c r="E15" s="500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7</v>
      </c>
      <c r="B20" s="227">
        <v>17.68</v>
      </c>
      <c r="C20" s="72"/>
      <c r="D20" s="72"/>
      <c r="E20" s="72"/>
    </row>
    <row r="21" spans="1:5" ht="16.5" customHeight="1">
      <c r="A21" s="8" t="s">
        <v>9</v>
      </c>
      <c r="B21" s="13"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17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18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21</v>
      </c>
      <c r="C34" s="39"/>
      <c r="D34" s="39"/>
      <c r="E34" s="39"/>
    </row>
    <row r="35" spans="1:5" ht="16.5" customHeight="1">
      <c r="A35" s="75"/>
      <c r="B35" s="40" t="s">
        <v>22</v>
      </c>
      <c r="C35" s="39"/>
      <c r="D35" s="39"/>
      <c r="E35" s="39"/>
    </row>
    <row r="36" spans="1:5" ht="16.5" customHeight="1">
      <c r="A36" s="75"/>
      <c r="B36" s="40" t="s">
        <v>23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v>101.74</v>
      </c>
      <c r="C40" s="72"/>
      <c r="D40" s="72"/>
      <c r="E40" s="72"/>
    </row>
    <row r="41" spans="1:5" ht="16.5" customHeight="1">
      <c r="A41" s="8" t="s">
        <v>7</v>
      </c>
      <c r="B41" s="12">
        <v>13.26</v>
      </c>
      <c r="C41" s="72"/>
      <c r="D41" s="72"/>
      <c r="E41" s="72"/>
    </row>
    <row r="42" spans="1:5" ht="16.5" customHeight="1">
      <c r="A42" s="8" t="s">
        <v>9</v>
      </c>
      <c r="B42" s="13">
        <v>0.15911999999999998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75860844</v>
      </c>
      <c r="C45" s="18">
        <v>2712.9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77946603</v>
      </c>
      <c r="C46" s="18">
        <v>2645.1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78603342</v>
      </c>
      <c r="C47" s="18">
        <v>2644.9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78288868</v>
      </c>
      <c r="C48" s="18">
        <v>2613.8000000000002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78461640</v>
      </c>
      <c r="C49" s="18">
        <v>2630.2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79056622</v>
      </c>
      <c r="C50" s="21">
        <v>2585.6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f>AVERAGE(B45:B50)</f>
        <v>78036319.833333328</v>
      </c>
      <c r="C51" s="25">
        <f>AVERAGE(C45:C50)</f>
        <v>2638.7500000000005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18</v>
      </c>
      <c r="B52" s="28">
        <f>(STDEV(B45:B50)/B51)</f>
        <v>1.4438931571097971E-2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501" t="s">
        <v>25</v>
      </c>
      <c r="C59" s="501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289">
        <v>42045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4"/>
  <sheetViews>
    <sheetView view="pageBreakPreview" topLeftCell="B14" zoomScale="60" zoomScaleNormal="40" zoomScalePageLayoutView="85" workbookViewId="0">
      <selection activeCell="B20" sqref="B20:C20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510" t="s">
        <v>44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>
      <c r="A7" s="510"/>
      <c r="B7" s="510"/>
      <c r="C7" s="510"/>
      <c r="D7" s="510"/>
      <c r="E7" s="510"/>
      <c r="F7" s="510"/>
      <c r="G7" s="510"/>
      <c r="H7" s="510"/>
      <c r="I7" s="510"/>
    </row>
    <row r="8" spans="1:9">
      <c r="A8" s="511" t="s">
        <v>45</v>
      </c>
      <c r="B8" s="511"/>
      <c r="C8" s="511"/>
      <c r="D8" s="511"/>
      <c r="E8" s="511"/>
      <c r="F8" s="511"/>
      <c r="G8" s="511"/>
      <c r="H8" s="511"/>
      <c r="I8" s="511"/>
    </row>
    <row r="9" spans="1:9">
      <c r="A9" s="511"/>
      <c r="B9" s="511"/>
      <c r="C9" s="511"/>
      <c r="D9" s="511"/>
      <c r="E9" s="511"/>
      <c r="F9" s="511"/>
      <c r="G9" s="511"/>
      <c r="H9" s="511"/>
      <c r="I9" s="511"/>
    </row>
    <row r="10" spans="1:9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>
      <c r="A15" s="205"/>
    </row>
    <row r="16" spans="1:9" ht="19.5" customHeight="1" thickBot="1">
      <c r="A16" s="544" t="s">
        <v>30</v>
      </c>
      <c r="B16" s="545"/>
      <c r="C16" s="545"/>
      <c r="D16" s="545"/>
      <c r="E16" s="545"/>
      <c r="F16" s="545"/>
      <c r="G16" s="545"/>
      <c r="H16" s="546"/>
    </row>
    <row r="17" spans="1:14" ht="20.25" customHeight="1">
      <c r="A17" s="547" t="s">
        <v>46</v>
      </c>
      <c r="B17" s="547"/>
      <c r="C17" s="547"/>
      <c r="D17" s="547"/>
      <c r="E17" s="547"/>
      <c r="F17" s="547"/>
      <c r="G17" s="547"/>
      <c r="H17" s="547"/>
    </row>
    <row r="18" spans="1:14" ht="26.25" customHeight="1">
      <c r="A18" s="100" t="s">
        <v>32</v>
      </c>
      <c r="B18" s="543" t="str">
        <f>'Tenofovir Disoproxil Fumarate'!B18:C18</f>
        <v>Efavirenz 600mg, Lamivudine 300mg and Tenofovir Disoproxil Fumarate 300mg Tablets</v>
      </c>
      <c r="C18" s="543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6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48" t="s">
        <v>126</v>
      </c>
      <c r="C20" s="548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48" t="s">
        <v>10</v>
      </c>
      <c r="C21" s="548"/>
      <c r="D21" s="548"/>
      <c r="E21" s="548"/>
      <c r="F21" s="548"/>
      <c r="G21" s="548"/>
      <c r="H21" s="548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543" t="s">
        <v>126</v>
      </c>
      <c r="C26" s="543"/>
    </row>
    <row r="27" spans="1:14" ht="26.25" customHeight="1">
      <c r="A27" s="216" t="s">
        <v>47</v>
      </c>
      <c r="B27" s="541" t="s">
        <v>136</v>
      </c>
      <c r="C27" s="541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518" t="s">
        <v>49</v>
      </c>
      <c r="D29" s="519"/>
      <c r="E29" s="519"/>
      <c r="F29" s="519"/>
      <c r="G29" s="520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521" t="s">
        <v>52</v>
      </c>
      <c r="D31" s="522"/>
      <c r="E31" s="522"/>
      <c r="F31" s="522"/>
      <c r="G31" s="522"/>
      <c r="H31" s="523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521" t="s">
        <v>54</v>
      </c>
      <c r="D32" s="522"/>
      <c r="E32" s="522"/>
      <c r="F32" s="522"/>
      <c r="G32" s="522"/>
      <c r="H32" s="523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524" t="s">
        <v>58</v>
      </c>
      <c r="E36" s="542"/>
      <c r="F36" s="524" t="s">
        <v>59</v>
      </c>
      <c r="G36" s="525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526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526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512" t="s">
        <v>77</v>
      </c>
      <c r="B46" s="513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514"/>
      <c r="B47" s="515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1895.1734999999996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>
      <c r="A60" s="124" t="s">
        <v>92</v>
      </c>
      <c r="B60" s="125">
        <v>5</v>
      </c>
      <c r="C60" s="529" t="s">
        <v>93</v>
      </c>
      <c r="D60" s="532">
        <f>'Tenofovir Disoproxil Fumarate'!D60:D63</f>
        <v>1927.81</v>
      </c>
      <c r="E60" s="182">
        <v>1</v>
      </c>
      <c r="F60" s="183">
        <v>59499001</v>
      </c>
      <c r="G60" s="273">
        <f>IF(ISBLANK(F60),"-",(F60/$D$50*$D$47*$B$68)*($B$57/$D$60))</f>
        <v>320.26664977200744</v>
      </c>
      <c r="H60" s="184">
        <f>IF(ISBLANK(F60),"-",G60/$B$56)</f>
        <v>1.0675554992400249</v>
      </c>
      <c r="L60" s="112"/>
    </row>
    <row r="61" spans="1:12" s="16" customFormat="1" ht="26.25" customHeight="1">
      <c r="A61" s="124" t="s">
        <v>94</v>
      </c>
      <c r="B61" s="125">
        <v>250</v>
      </c>
      <c r="C61" s="530"/>
      <c r="D61" s="533"/>
      <c r="E61" s="185">
        <v>2</v>
      </c>
      <c r="F61" s="137">
        <v>59302543</v>
      </c>
      <c r="G61" s="274">
        <f>IF(ISBLANK(F61),"-",(F61/$D$50*$D$47*$B$68)*($B$57/$D$60))</f>
        <v>319.2091707484368</v>
      </c>
      <c r="H61" s="186">
        <f t="shared" ref="H61:H71" si="0">IF(ISBLANK(F61),"-",G61/$B$56)</f>
        <v>1.064030569161456</v>
      </c>
      <c r="L61" s="112"/>
    </row>
    <row r="62" spans="1:12" s="16" customFormat="1" ht="26.25" customHeight="1">
      <c r="A62" s="124" t="s">
        <v>95</v>
      </c>
      <c r="B62" s="125">
        <v>1</v>
      </c>
      <c r="C62" s="530"/>
      <c r="D62" s="533"/>
      <c r="E62" s="185">
        <v>3</v>
      </c>
      <c r="F62" s="187">
        <v>59394030</v>
      </c>
      <c r="G62" s="274">
        <f>IF(ISBLANK(F62),"-",(F62/$D$50*$D$47*$B$68)*($B$57/$D$60))</f>
        <v>319.70161994078029</v>
      </c>
      <c r="H62" s="186">
        <f t="shared" si="0"/>
        <v>1.0656720664692676</v>
      </c>
      <c r="L62" s="112"/>
    </row>
    <row r="63" spans="1:12" ht="27" customHeight="1" thickBot="1">
      <c r="A63" s="124" t="s">
        <v>96</v>
      </c>
      <c r="B63" s="125">
        <v>1</v>
      </c>
      <c r="C63" s="540"/>
      <c r="D63" s="534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29" t="s">
        <v>98</v>
      </c>
      <c r="D64" s="532">
        <f>'Tenofovir Disoproxil Fumarate'!D64:D67</f>
        <v>1861.2</v>
      </c>
      <c r="E64" s="182">
        <v>1</v>
      </c>
      <c r="F64" s="183">
        <v>57580944</v>
      </c>
      <c r="G64" s="275">
        <f>IF(ISBLANK(F64),"-",(F64/$D$50*$D$47*$B$68)*($B$57/$D$64))</f>
        <v>321.03472315691101</v>
      </c>
      <c r="H64" s="190">
        <f>IF(ISBLANK(F64),"-",G64/$B$56)</f>
        <v>1.07011574385637</v>
      </c>
    </row>
    <row r="65" spans="1:8" ht="26.25" customHeight="1">
      <c r="A65" s="124" t="s">
        <v>99</v>
      </c>
      <c r="B65" s="125">
        <v>1</v>
      </c>
      <c r="C65" s="530"/>
      <c r="D65" s="533"/>
      <c r="E65" s="185">
        <v>2</v>
      </c>
      <c r="F65" s="137">
        <v>58202464</v>
      </c>
      <c r="G65" s="276">
        <f>IF(ISBLANK(F65),"-",(F65/$D$50*$D$47*$B$68)*($B$57/$D$64))</f>
        <v>324.49992339983305</v>
      </c>
      <c r="H65" s="191">
        <f t="shared" si="0"/>
        <v>1.0816664113327767</v>
      </c>
    </row>
    <row r="66" spans="1:8" ht="26.25" customHeight="1">
      <c r="A66" s="124" t="s">
        <v>100</v>
      </c>
      <c r="B66" s="125">
        <v>1</v>
      </c>
      <c r="C66" s="530"/>
      <c r="D66" s="533"/>
      <c r="E66" s="185">
        <v>3</v>
      </c>
      <c r="F66" s="137">
        <v>58217643</v>
      </c>
      <c r="G66" s="276">
        <f>IF(ISBLANK(F66),"-",(F66/$D$50*$D$47*$B$68)*($B$57/$D$64))</f>
        <v>324.58455185022467</v>
      </c>
      <c r="H66" s="191">
        <f t="shared" si="0"/>
        <v>1.0819485061674157</v>
      </c>
    </row>
    <row r="67" spans="1:8" ht="27" customHeight="1" thickBot="1">
      <c r="A67" s="124" t="s">
        <v>101</v>
      </c>
      <c r="B67" s="125">
        <v>1</v>
      </c>
      <c r="C67" s="540"/>
      <c r="D67" s="534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29" t="s">
        <v>103</v>
      </c>
      <c r="D68" s="532">
        <f>'Tenofovir Disoproxil Fumarate'!D68:D71</f>
        <v>1888.16</v>
      </c>
      <c r="E68" s="182">
        <v>1</v>
      </c>
      <c r="F68" s="183">
        <v>59725879</v>
      </c>
      <c r="G68" s="275">
        <f>IF(ISBLANK(F68),"-",(F68/$D$50*$D$47*$B$68)*($B$57/$D$68))</f>
        <v>328.23888496892539</v>
      </c>
      <c r="H68" s="186">
        <f>IF(ISBLANK(F68),"-",G68/$B$56)</f>
        <v>1.0941296165630847</v>
      </c>
    </row>
    <row r="69" spans="1:8" ht="27" customHeight="1" thickBot="1">
      <c r="A69" s="172" t="s">
        <v>104</v>
      </c>
      <c r="B69" s="194">
        <f>(D47*B68)/B56*B57</f>
        <v>1895.1734999999996</v>
      </c>
      <c r="C69" s="530"/>
      <c r="D69" s="533"/>
      <c r="E69" s="185">
        <v>2</v>
      </c>
      <c r="F69" s="137">
        <v>59823822</v>
      </c>
      <c r="G69" s="276">
        <f>IF(ISBLANK(F69),"-",(F69/$D$50*$D$47*$B$68)*($B$57/$D$68))</f>
        <v>328.77715584327296</v>
      </c>
      <c r="H69" s="186">
        <f t="shared" si="0"/>
        <v>1.0959238528109099</v>
      </c>
    </row>
    <row r="70" spans="1:8" ht="26.25" customHeight="1">
      <c r="A70" s="535" t="s">
        <v>77</v>
      </c>
      <c r="B70" s="536"/>
      <c r="C70" s="530"/>
      <c r="D70" s="533"/>
      <c r="E70" s="185">
        <v>3</v>
      </c>
      <c r="F70" s="137">
        <v>59890395</v>
      </c>
      <c r="G70" s="276">
        <f>IF(ISBLANK(F70),"-",(F70/$D$50*$D$47*$B$68)*($B$57/$D$68))</f>
        <v>329.1430248376671</v>
      </c>
      <c r="H70" s="186">
        <f t="shared" si="0"/>
        <v>1.0971434161255571</v>
      </c>
    </row>
    <row r="71" spans="1:8" ht="27" customHeight="1" thickBot="1">
      <c r="A71" s="537"/>
      <c r="B71" s="538"/>
      <c r="C71" s="531"/>
      <c r="D71" s="534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1.0797984090807624</v>
      </c>
    </row>
    <row r="73" spans="1:8" ht="26.25" customHeight="1">
      <c r="C73" s="224"/>
      <c r="D73" s="224"/>
      <c r="E73" s="224"/>
      <c r="F73" s="224"/>
      <c r="G73" s="200" t="s">
        <v>83</v>
      </c>
      <c r="H73" s="278">
        <f>STDEV(H60:H71)/H72</f>
        <v>1.2537425753017004E-2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9</v>
      </c>
    </row>
    <row r="76" spans="1:8" ht="26.25" customHeight="1">
      <c r="A76" s="264" t="s">
        <v>105</v>
      </c>
      <c r="B76" s="216" t="s">
        <v>106</v>
      </c>
      <c r="C76" s="516" t="str">
        <f>B20</f>
        <v>Lamivudine</v>
      </c>
      <c r="D76" s="516"/>
      <c r="E76" s="205" t="s">
        <v>107</v>
      </c>
      <c r="F76" s="205"/>
      <c r="G76" s="206">
        <f>H72</f>
        <v>1.0797984090807624</v>
      </c>
      <c r="H76" s="282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539" t="str">
        <f>B26</f>
        <v>Lamivudine</v>
      </c>
      <c r="C79" s="539"/>
    </row>
    <row r="80" spans="1:8" ht="26.25" customHeight="1">
      <c r="A80" s="216" t="s">
        <v>47</v>
      </c>
      <c r="B80" s="539" t="str">
        <f>B27</f>
        <v>NQCL-WRS-L3-6</v>
      </c>
      <c r="C80" s="539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518" t="s">
        <v>49</v>
      </c>
      <c r="D82" s="519"/>
      <c r="E82" s="519"/>
      <c r="F82" s="519"/>
      <c r="G82" s="520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521" t="s">
        <v>110</v>
      </c>
      <c r="D84" s="522"/>
      <c r="E84" s="522"/>
      <c r="F84" s="522"/>
      <c r="G84" s="522"/>
      <c r="H84" s="523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521" t="s">
        <v>111</v>
      </c>
      <c r="D85" s="522"/>
      <c r="E85" s="522"/>
      <c r="F85" s="522"/>
      <c r="G85" s="522"/>
      <c r="H85" s="523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4" t="s">
        <v>58</v>
      </c>
      <c r="E89" s="287"/>
      <c r="F89" s="524" t="s">
        <v>59</v>
      </c>
      <c r="G89" s="525"/>
    </row>
    <row r="90" spans="1:12" ht="27" customHeight="1" thickBot="1">
      <c r="A90" s="124" t="s">
        <v>60</v>
      </c>
      <c r="B90" s="125">
        <v>3</v>
      </c>
      <c r="C90" s="283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78077279</v>
      </c>
      <c r="E91" s="133">
        <f>IF(ISBLANK(D91),"-",$D$101/$D$98*D91)</f>
        <v>144686969.728237</v>
      </c>
      <c r="F91" s="132">
        <v>94094817</v>
      </c>
      <c r="G91" s="134">
        <f>IF(ISBLANK(F91),"-",$D$101/$F$98*F91)</f>
        <v>144328289.81710747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78332264</v>
      </c>
      <c r="E92" s="138">
        <f>IF(ISBLANK(D92),"-",$D$101/$D$98*D92)</f>
        <v>145159488.84581733</v>
      </c>
      <c r="F92" s="137">
        <v>92147596</v>
      </c>
      <c r="G92" s="139">
        <f>IF(ISBLANK(F92),"-",$D$101/$F$98*F92)</f>
        <v>141341525.12818781</v>
      </c>
      <c r="I92" s="526">
        <f>ABS((F96/D96*D95)-F95)/D95</f>
        <v>2.2129680052106551E-2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78648601</v>
      </c>
      <c r="E93" s="138">
        <f>IF(ISBLANK(D93),"-",$D$101/$D$98*D93)</f>
        <v>145745700.89789104</v>
      </c>
      <c r="F93" s="137">
        <v>92540099</v>
      </c>
      <c r="G93" s="139">
        <f>IF(ISBLANK(F93),"-",$D$101/$F$98*F93)</f>
        <v>141943569.83738875</v>
      </c>
      <c r="I93" s="526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78352714.666666672</v>
      </c>
      <c r="E95" s="148">
        <f>AVERAGE(E91:E94)</f>
        <v>145197386.49064848</v>
      </c>
      <c r="F95" s="218">
        <f>AVERAGE(F91:F94)</f>
        <v>92927504</v>
      </c>
      <c r="G95" s="219">
        <f>AVERAGE(G91:G94)</f>
        <v>142537794.92756134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13.26</v>
      </c>
      <c r="E96" s="205"/>
      <c r="F96" s="152">
        <v>16.02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13.26</v>
      </c>
      <c r="E97" s="224"/>
      <c r="F97" s="154">
        <f>F96*$B$87</f>
        <v>16.02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13.490724</v>
      </c>
      <c r="E98" s="201"/>
      <c r="F98" s="157">
        <f>F97*$B$83/100</f>
        <v>16.298748</v>
      </c>
    </row>
    <row r="99" spans="1:10" ht="19.5" customHeight="1" thickBot="1">
      <c r="A99" s="512" t="s">
        <v>77</v>
      </c>
      <c r="B99" s="527"/>
      <c r="C99" s="222" t="s">
        <v>115</v>
      </c>
      <c r="D99" s="226">
        <f>D98/$B$98</f>
        <v>0.16188868799999998</v>
      </c>
      <c r="E99" s="201"/>
      <c r="F99" s="161">
        <f>F98/$B$98</f>
        <v>0.19558497599999997</v>
      </c>
      <c r="H99" s="150"/>
    </row>
    <row r="100" spans="1:10" ht="19.5" customHeight="1" thickBot="1">
      <c r="A100" s="514"/>
      <c r="B100" s="528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143867590.7091049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1.249712646746466E-2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4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143668705</v>
      </c>
      <c r="E108" s="279">
        <f t="shared" ref="E108:E113" si="1">IF(ISBLANK(D108),"-",D108/$D$103*$D$100*$B$116)</f>
        <v>299.58527342789722</v>
      </c>
      <c r="F108" s="245">
        <f>IF(ISBLANK(D108), "-", E108/$B$56)</f>
        <v>0.99861757809299079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145341178</v>
      </c>
      <c r="E109" s="280">
        <f t="shared" si="1"/>
        <v>303.07279898891471</v>
      </c>
      <c r="F109" s="246">
        <f t="shared" ref="F109:F113" si="2">IF(ISBLANK(D109), "-", E109/$B$56)</f>
        <v>1.0102426632963823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143167880</v>
      </c>
      <c r="E110" s="280">
        <f t="shared" si="1"/>
        <v>298.54092772599557</v>
      </c>
      <c r="F110" s="246">
        <f>IF(ISBLANK(D110), "-", E110/$B$56)</f>
        <v>0.99513642575331862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145405433</v>
      </c>
      <c r="E111" s="280">
        <f t="shared" si="1"/>
        <v>303.20678677521869</v>
      </c>
      <c r="F111" s="246">
        <f t="shared" si="2"/>
        <v>1.0106892892507289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144280504</v>
      </c>
      <c r="E112" s="280">
        <f t="shared" si="1"/>
        <v>300.86102774542877</v>
      </c>
      <c r="F112" s="246">
        <f>IF(ISBLANK(D112), "-", E112/$B$56)</f>
        <v>1.0028700924847627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143552366</v>
      </c>
      <c r="E113" s="281">
        <f t="shared" si="1"/>
        <v>299.34267744204686</v>
      </c>
      <c r="F113" s="249">
        <f t="shared" si="2"/>
        <v>0.99780892480682293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1.0025608289475012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6.5926509607766148E-3</v>
      </c>
      <c r="I116" s="205"/>
    </row>
    <row r="117" spans="1:10" ht="27" customHeight="1" thickBot="1">
      <c r="A117" s="512" t="s">
        <v>77</v>
      </c>
      <c r="B117" s="513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514"/>
      <c r="B118" s="515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516" t="str">
        <f>B20</f>
        <v>Lamivudine</v>
      </c>
      <c r="D120" s="516"/>
      <c r="E120" s="205" t="s">
        <v>123</v>
      </c>
      <c r="F120" s="205"/>
      <c r="G120" s="206">
        <f>F115</f>
        <v>1.0025608289475012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517" t="s">
        <v>25</v>
      </c>
      <c r="C122" s="517"/>
      <c r="E122" s="283" t="s">
        <v>26</v>
      </c>
      <c r="F122" s="263"/>
      <c r="G122" s="517" t="s">
        <v>27</v>
      </c>
      <c r="H122" s="517"/>
    </row>
    <row r="123" spans="1:10" ht="69.95" customHeight="1">
      <c r="A123" s="264" t="s">
        <v>28</v>
      </c>
      <c r="B123" s="266" t="s">
        <v>125</v>
      </c>
      <c r="C123" s="266"/>
      <c r="E123" s="291">
        <v>42045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E30" sqref="E30:F30"/>
    </sheetView>
  </sheetViews>
  <sheetFormatPr defaultRowHeight="13.5"/>
  <cols>
    <col min="1" max="1" width="27.5703125" style="293" customWidth="1"/>
    <col min="2" max="2" width="20.42578125" style="293" customWidth="1"/>
    <col min="3" max="3" width="31.85546875" style="293" customWidth="1"/>
    <col min="4" max="4" width="25.85546875" style="293" customWidth="1"/>
    <col min="5" max="5" width="25.7109375" style="293" customWidth="1"/>
    <col min="6" max="6" width="23.140625" style="293" customWidth="1"/>
    <col min="7" max="7" width="28.42578125" style="293" customWidth="1"/>
    <col min="8" max="8" width="21.5703125" style="293" customWidth="1"/>
    <col min="9" max="9" width="9.140625" style="293" customWidth="1"/>
    <col min="10" max="16384" width="9.140625" style="330"/>
  </cols>
  <sheetData>
    <row r="14" spans="1:6" ht="15" customHeight="1">
      <c r="A14" s="292"/>
      <c r="C14" s="294"/>
      <c r="F14" s="294"/>
    </row>
    <row r="15" spans="1:6" ht="18.75" customHeight="1">
      <c r="A15" s="549" t="s">
        <v>0</v>
      </c>
      <c r="B15" s="549"/>
      <c r="C15" s="549"/>
      <c r="D15" s="549"/>
      <c r="E15" s="549"/>
    </row>
    <row r="16" spans="1:6" ht="16.5" customHeight="1">
      <c r="A16" s="295" t="s">
        <v>1</v>
      </c>
      <c r="B16" s="296" t="s">
        <v>2</v>
      </c>
    </row>
    <row r="17" spans="1:6" ht="16.5" customHeight="1">
      <c r="A17" s="297" t="s">
        <v>3</v>
      </c>
      <c r="B17" s="297" t="s">
        <v>128</v>
      </c>
      <c r="D17" s="298"/>
      <c r="E17" s="299"/>
    </row>
    <row r="18" spans="1:6" ht="16.5" customHeight="1">
      <c r="A18" s="300" t="s">
        <v>4</v>
      </c>
      <c r="B18" s="301" t="s">
        <v>129</v>
      </c>
      <c r="C18" s="299"/>
      <c r="D18" s="299"/>
      <c r="E18" s="299"/>
    </row>
    <row r="19" spans="1:6" ht="16.5" customHeight="1">
      <c r="A19" s="300" t="s">
        <v>6</v>
      </c>
      <c r="B19" s="301">
        <v>99.3</v>
      </c>
      <c r="C19" s="299"/>
      <c r="D19" s="299"/>
      <c r="E19" s="299"/>
    </row>
    <row r="20" spans="1:6" ht="16.5" customHeight="1">
      <c r="A20" s="297" t="s">
        <v>7</v>
      </c>
      <c r="B20" s="293">
        <f>[1]Efavirenz!D43</f>
        <v>27.22</v>
      </c>
      <c r="C20" s="299"/>
      <c r="D20" s="299"/>
      <c r="E20" s="299"/>
    </row>
    <row r="21" spans="1:6" ht="16.5" customHeight="1">
      <c r="A21" s="297" t="s">
        <v>9</v>
      </c>
      <c r="B21" s="302">
        <f>B20/[1]Efavirenz!B45</f>
        <v>0.10887999999999999</v>
      </c>
      <c r="C21" s="299"/>
      <c r="D21" s="299"/>
      <c r="E21" s="299"/>
    </row>
    <row r="22" spans="1:6" ht="15.75" customHeight="1">
      <c r="A22" s="299"/>
      <c r="B22" s="299"/>
      <c r="C22" s="299"/>
      <c r="D22" s="299"/>
      <c r="E22" s="299"/>
    </row>
    <row r="23" spans="1:6" ht="16.5" customHeight="1">
      <c r="A23" s="303" t="s">
        <v>12</v>
      </c>
      <c r="B23" s="304" t="s">
        <v>13</v>
      </c>
      <c r="C23" s="303" t="s">
        <v>14</v>
      </c>
      <c r="D23" s="303" t="s">
        <v>15</v>
      </c>
      <c r="E23" s="303" t="s">
        <v>16</v>
      </c>
    </row>
    <row r="24" spans="1:6" ht="16.5" customHeight="1">
      <c r="A24" s="305">
        <v>1</v>
      </c>
      <c r="B24" s="306">
        <v>114150927</v>
      </c>
      <c r="C24" s="306">
        <v>49976.800000000003</v>
      </c>
      <c r="D24" s="307">
        <v>1.1000000000000001</v>
      </c>
      <c r="E24" s="308">
        <v>11.313000000000001</v>
      </c>
      <c r="F24" s="593">
        <v>21.85014</v>
      </c>
    </row>
    <row r="25" spans="1:6" ht="16.5" customHeight="1">
      <c r="A25" s="305">
        <v>2</v>
      </c>
      <c r="B25" s="306">
        <v>113785619</v>
      </c>
      <c r="C25" s="306">
        <v>50386.2</v>
      </c>
      <c r="D25" s="307">
        <v>1</v>
      </c>
      <c r="E25" s="307">
        <v>11.318</v>
      </c>
      <c r="F25" s="593">
        <v>21.92381</v>
      </c>
    </row>
    <row r="26" spans="1:6" ht="16.5" customHeight="1">
      <c r="A26" s="305">
        <v>3</v>
      </c>
      <c r="B26" s="306">
        <v>113552589</v>
      </c>
      <c r="C26" s="306">
        <v>52077.2</v>
      </c>
      <c r="D26" s="307">
        <v>1</v>
      </c>
      <c r="E26" s="307">
        <v>11.43</v>
      </c>
      <c r="F26" s="593">
        <v>22.763829999999999</v>
      </c>
    </row>
    <row r="27" spans="1:6" ht="16.5" customHeight="1">
      <c r="A27" s="305">
        <v>4</v>
      </c>
      <c r="B27" s="306">
        <v>114054715</v>
      </c>
      <c r="C27" s="306">
        <v>50402.5</v>
      </c>
      <c r="D27" s="307">
        <v>1.1000000000000001</v>
      </c>
      <c r="E27" s="307">
        <v>11.318</v>
      </c>
      <c r="F27" s="593">
        <v>21.924900000000001</v>
      </c>
    </row>
    <row r="28" spans="1:6" ht="16.5" customHeight="1">
      <c r="A28" s="305">
        <v>5</v>
      </c>
      <c r="B28" s="306">
        <v>114254934</v>
      </c>
      <c r="C28" s="306">
        <v>50596.800000000003</v>
      </c>
      <c r="D28" s="307">
        <v>1.1000000000000001</v>
      </c>
      <c r="E28" s="307">
        <v>11.318</v>
      </c>
      <c r="F28" s="593">
        <v>21.959720000000001</v>
      </c>
    </row>
    <row r="29" spans="1:6" ht="16.5" customHeight="1">
      <c r="A29" s="305">
        <v>6</v>
      </c>
      <c r="B29" s="309">
        <v>113997770</v>
      </c>
      <c r="C29" s="309">
        <v>51266.2</v>
      </c>
      <c r="D29" s="310">
        <v>1</v>
      </c>
      <c r="E29" s="310">
        <v>11.318</v>
      </c>
      <c r="F29" s="593">
        <v>22.087319999999998</v>
      </c>
    </row>
    <row r="30" spans="1:6" ht="16.5" customHeight="1">
      <c r="A30" s="311" t="s">
        <v>17</v>
      </c>
      <c r="B30" s="312">
        <f>AVERAGE(B24:B29)</f>
        <v>113966092.33333333</v>
      </c>
      <c r="C30" s="313">
        <f>AVERAGE(C24:C29)</f>
        <v>50784.283333333333</v>
      </c>
      <c r="D30" s="314">
        <f>AVERAGE(D24:D29)</f>
        <v>1.05</v>
      </c>
      <c r="E30" s="314">
        <f>AVERAGE(E24:E29)</f>
        <v>11.335833333333333</v>
      </c>
      <c r="F30" s="314">
        <f>AVERAGE(F24:F29)</f>
        <v>22.084953333333335</v>
      </c>
    </row>
    <row r="31" spans="1:6" ht="16.5" customHeight="1">
      <c r="A31" s="315" t="s">
        <v>18</v>
      </c>
      <c r="B31" s="316">
        <f>(STDEV(B24:B29)/B30)</f>
        <v>2.2542420724668165E-3</v>
      </c>
      <c r="C31" s="317"/>
      <c r="D31" s="317"/>
      <c r="E31" s="318"/>
    </row>
    <row r="32" spans="1:6" s="293" customFormat="1" ht="16.5" customHeight="1">
      <c r="A32" s="319" t="s">
        <v>19</v>
      </c>
      <c r="B32" s="320">
        <f>COUNT(B24:B29)</f>
        <v>6</v>
      </c>
      <c r="C32" s="321"/>
      <c r="D32" s="322"/>
      <c r="E32" s="323"/>
    </row>
    <row r="33" spans="1:6" s="293" customFormat="1" ht="15.75" customHeight="1">
      <c r="A33" s="299"/>
      <c r="B33" s="299"/>
      <c r="C33" s="299"/>
      <c r="D33" s="299"/>
      <c r="E33" s="299"/>
    </row>
    <row r="34" spans="1:6" s="293" customFormat="1" ht="16.5" customHeight="1">
      <c r="A34" s="300" t="s">
        <v>20</v>
      </c>
      <c r="B34" s="324" t="s">
        <v>21</v>
      </c>
      <c r="C34" s="325"/>
      <c r="D34" s="325"/>
      <c r="E34" s="325"/>
    </row>
    <row r="35" spans="1:6" ht="16.5" customHeight="1">
      <c r="A35" s="300"/>
      <c r="B35" s="324" t="s">
        <v>22</v>
      </c>
      <c r="C35" s="325"/>
      <c r="D35" s="325"/>
      <c r="E35" s="325"/>
    </row>
    <row r="36" spans="1:6" ht="16.5" customHeight="1">
      <c r="A36" s="300"/>
      <c r="B36" s="324" t="s">
        <v>23</v>
      </c>
      <c r="C36" s="325"/>
      <c r="D36" s="325"/>
      <c r="E36" s="325"/>
    </row>
    <row r="37" spans="1:6" ht="15.75" customHeight="1">
      <c r="A37" s="299"/>
      <c r="B37" s="299"/>
      <c r="C37" s="299"/>
      <c r="D37" s="299"/>
      <c r="E37" s="299"/>
    </row>
    <row r="38" spans="1:6" ht="16.5" customHeight="1">
      <c r="A38" s="295" t="s">
        <v>1</v>
      </c>
      <c r="B38" s="296" t="s">
        <v>24</v>
      </c>
    </row>
    <row r="39" spans="1:6" ht="16.5" customHeight="1">
      <c r="A39" s="300" t="s">
        <v>4</v>
      </c>
      <c r="B39" s="326" t="str">
        <f>B18</f>
        <v>EFAVIRENZ</v>
      </c>
      <c r="C39" s="299"/>
      <c r="D39" s="299"/>
      <c r="E39" s="299"/>
    </row>
    <row r="40" spans="1:6" ht="16.5" customHeight="1">
      <c r="A40" s="300" t="s">
        <v>6</v>
      </c>
      <c r="B40" s="301">
        <f>B19</f>
        <v>99.3</v>
      </c>
      <c r="C40" s="299"/>
      <c r="D40" s="299"/>
      <c r="E40" s="299"/>
    </row>
    <row r="41" spans="1:6" ht="16.5" customHeight="1">
      <c r="A41" s="297" t="s">
        <v>7</v>
      </c>
      <c r="B41" s="301">
        <f>[1]Efavirenz!D96</f>
        <v>29.98</v>
      </c>
      <c r="C41" s="299"/>
      <c r="D41" s="299"/>
      <c r="E41" s="299"/>
    </row>
    <row r="42" spans="1:6" ht="16.5" customHeight="1">
      <c r="A42" s="297" t="s">
        <v>9</v>
      </c>
      <c r="B42" s="302">
        <f>B41/[1]Efavirenz!B98</f>
        <v>0.47968</v>
      </c>
      <c r="C42" s="299"/>
      <c r="D42" s="299"/>
      <c r="E42" s="299"/>
    </row>
    <row r="43" spans="1:6" ht="15.75" customHeight="1">
      <c r="A43" s="299"/>
      <c r="B43" s="299"/>
      <c r="C43" s="299"/>
      <c r="D43" s="299"/>
      <c r="E43" s="299"/>
    </row>
    <row r="44" spans="1:6" ht="16.5" customHeight="1">
      <c r="A44" s="303" t="s">
        <v>12</v>
      </c>
      <c r="B44" s="304" t="s">
        <v>13</v>
      </c>
      <c r="C44" s="303" t="s">
        <v>14</v>
      </c>
      <c r="D44" s="303" t="s">
        <v>15</v>
      </c>
      <c r="E44" s="303" t="s">
        <v>16</v>
      </c>
    </row>
    <row r="45" spans="1:6" ht="16.5" customHeight="1">
      <c r="A45" s="305">
        <v>1</v>
      </c>
      <c r="B45" s="306">
        <v>228867357</v>
      </c>
      <c r="C45" s="306">
        <v>61296.9</v>
      </c>
      <c r="D45" s="307">
        <v>1.1000000000000001</v>
      </c>
      <c r="E45" s="308">
        <v>11.3</v>
      </c>
      <c r="F45" s="293">
        <v>24.6</v>
      </c>
    </row>
    <row r="46" spans="1:6" ht="16.5" customHeight="1">
      <c r="A46" s="305">
        <v>2</v>
      </c>
      <c r="B46" s="306">
        <v>229328950</v>
      </c>
      <c r="C46" s="306">
        <v>60966.400000000001</v>
      </c>
      <c r="D46" s="307">
        <v>1</v>
      </c>
      <c r="E46" s="307">
        <v>11.3</v>
      </c>
      <c r="F46" s="293">
        <v>24.4</v>
      </c>
    </row>
    <row r="47" spans="1:6" ht="16.5" customHeight="1">
      <c r="A47" s="305">
        <v>3</v>
      </c>
      <c r="B47" s="306">
        <v>229523823</v>
      </c>
      <c r="C47" s="306">
        <v>60925.2</v>
      </c>
      <c r="D47" s="307">
        <v>1.1000000000000001</v>
      </c>
      <c r="E47" s="307">
        <v>11.3</v>
      </c>
      <c r="F47" s="293">
        <v>24.2</v>
      </c>
    </row>
    <row r="48" spans="1:6" ht="16.5" customHeight="1">
      <c r="A48" s="305">
        <v>4</v>
      </c>
      <c r="B48" s="306">
        <v>229606023</v>
      </c>
      <c r="C48" s="306">
        <v>61014.400000000001</v>
      </c>
      <c r="D48" s="307">
        <v>1</v>
      </c>
      <c r="E48" s="307">
        <v>11.3</v>
      </c>
      <c r="F48" s="293">
        <v>24.4</v>
      </c>
    </row>
    <row r="49" spans="1:7" ht="16.5" customHeight="1">
      <c r="A49" s="305">
        <v>5</v>
      </c>
      <c r="B49" s="306">
        <v>229728158</v>
      </c>
      <c r="C49" s="306">
        <v>61009</v>
      </c>
      <c r="D49" s="307">
        <v>1.1000000000000001</v>
      </c>
      <c r="E49" s="307">
        <v>11.3</v>
      </c>
      <c r="F49" s="293">
        <v>24.4</v>
      </c>
    </row>
    <row r="50" spans="1:7" ht="16.5" customHeight="1">
      <c r="A50" s="305">
        <v>6</v>
      </c>
      <c r="B50" s="309">
        <v>229896677</v>
      </c>
      <c r="C50" s="309">
        <v>60454.9</v>
      </c>
      <c r="D50" s="310">
        <v>1.1000000000000001</v>
      </c>
      <c r="E50" s="310">
        <v>11.3</v>
      </c>
      <c r="F50" s="293">
        <v>24.3</v>
      </c>
    </row>
    <row r="51" spans="1:7" ht="16.5" customHeight="1">
      <c r="A51" s="311" t="s">
        <v>17</v>
      </c>
      <c r="B51" s="312">
        <f>AVERAGE(B45:B50)</f>
        <v>229491831.33333334</v>
      </c>
      <c r="C51" s="313">
        <f>AVERAGE(C45:C50)</f>
        <v>60944.466666666674</v>
      </c>
      <c r="D51" s="314">
        <f>AVERAGE(D45:D50)</f>
        <v>1.0666666666666667</v>
      </c>
      <c r="E51" s="314">
        <f>AVERAGE(E45:E50)</f>
        <v>11.299999999999999</v>
      </c>
      <c r="F51" s="314">
        <f>AVERAGE(F45:F50)</f>
        <v>24.383333333333336</v>
      </c>
    </row>
    <row r="52" spans="1:7" ht="16.5" customHeight="1">
      <c r="A52" s="315" t="s">
        <v>18</v>
      </c>
      <c r="B52" s="316">
        <f>(STDEV(B45:B50)/B51)</f>
        <v>1.571479286590652E-3</v>
      </c>
      <c r="C52" s="317"/>
      <c r="D52" s="317"/>
      <c r="E52" s="318"/>
    </row>
    <row r="53" spans="1:7" s="293" customFormat="1" ht="16.5" customHeight="1">
      <c r="A53" s="319" t="s">
        <v>19</v>
      </c>
      <c r="B53" s="320">
        <f>COUNT(B45:B50)</f>
        <v>6</v>
      </c>
      <c r="C53" s="321"/>
      <c r="D53" s="322"/>
      <c r="E53" s="323"/>
    </row>
    <row r="54" spans="1:7" s="293" customFormat="1" ht="15.75" customHeight="1">
      <c r="A54" s="299"/>
      <c r="B54" s="299"/>
      <c r="C54" s="299"/>
      <c r="D54" s="299"/>
      <c r="E54" s="299"/>
    </row>
    <row r="55" spans="1:7" s="293" customFormat="1" ht="16.5" customHeight="1">
      <c r="A55" s="300" t="s">
        <v>20</v>
      </c>
      <c r="B55" s="324" t="s">
        <v>21</v>
      </c>
      <c r="C55" s="325"/>
      <c r="D55" s="325"/>
      <c r="E55" s="325"/>
    </row>
    <row r="56" spans="1:7" ht="16.5" customHeight="1">
      <c r="A56" s="300"/>
      <c r="B56" s="324" t="s">
        <v>22</v>
      </c>
      <c r="C56" s="325"/>
      <c r="D56" s="325"/>
      <c r="E56" s="325"/>
    </row>
    <row r="57" spans="1:7" ht="16.5" customHeight="1">
      <c r="A57" s="300"/>
      <c r="B57" s="324" t="s">
        <v>23</v>
      </c>
      <c r="C57" s="325"/>
      <c r="D57" s="325"/>
      <c r="E57" s="325"/>
    </row>
    <row r="58" spans="1:7" ht="14.25" customHeight="1" thickBot="1">
      <c r="A58" s="327"/>
      <c r="B58" s="328"/>
      <c r="D58" s="329"/>
      <c r="F58" s="330"/>
      <c r="G58" s="330"/>
    </row>
    <row r="59" spans="1:7" ht="15" customHeight="1">
      <c r="B59" s="550" t="s">
        <v>25</v>
      </c>
      <c r="C59" s="550"/>
      <c r="E59" s="331" t="s">
        <v>26</v>
      </c>
      <c r="F59" s="332"/>
      <c r="G59" s="331" t="s">
        <v>27</v>
      </c>
    </row>
    <row r="60" spans="1:7" ht="15" customHeight="1">
      <c r="A60" s="333" t="s">
        <v>28</v>
      </c>
      <c r="B60" s="334"/>
      <c r="C60" s="334"/>
      <c r="E60" s="334"/>
      <c r="G60" s="334"/>
    </row>
    <row r="61" spans="1:7" ht="15" customHeight="1">
      <c r="A61" s="333" t="s">
        <v>29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" zoomScale="70" zoomScaleNormal="40" zoomScalePageLayoutView="70" workbookViewId="0">
      <selection activeCell="B20" sqref="B20:C20"/>
    </sheetView>
  </sheetViews>
  <sheetFormatPr defaultColWidth="9.140625" defaultRowHeight="13.5"/>
  <cols>
    <col min="1" max="1" width="55.42578125" style="293" customWidth="1"/>
    <col min="2" max="2" width="33.7109375" style="293" customWidth="1"/>
    <col min="3" max="3" width="42.28515625" style="293" customWidth="1"/>
    <col min="4" max="4" width="30.5703125" style="293" customWidth="1"/>
    <col min="5" max="5" width="39.85546875" style="293" customWidth="1"/>
    <col min="6" max="6" width="30.7109375" style="293" customWidth="1"/>
    <col min="7" max="7" width="39.85546875" style="293" customWidth="1"/>
    <col min="8" max="8" width="30" style="293" customWidth="1"/>
    <col min="9" max="9" width="30.28515625" style="293" hidden="1" customWidth="1"/>
    <col min="10" max="10" width="30.42578125" style="293" customWidth="1"/>
    <col min="11" max="11" width="21.28515625" style="293" customWidth="1"/>
    <col min="12" max="12" width="9.140625" style="293"/>
    <col min="13" max="16384" width="9.140625" style="330"/>
  </cols>
  <sheetData>
    <row r="1" spans="1:9" ht="18.75" customHeight="1">
      <c r="A1" s="581" t="s">
        <v>44</v>
      </c>
      <c r="B1" s="581"/>
      <c r="C1" s="581"/>
      <c r="D1" s="581"/>
      <c r="E1" s="581"/>
      <c r="F1" s="581"/>
      <c r="G1" s="581"/>
      <c r="H1" s="581"/>
      <c r="I1" s="581"/>
    </row>
    <row r="2" spans="1:9" ht="18.75" customHeight="1">
      <c r="A2" s="581"/>
      <c r="B2" s="581"/>
      <c r="C2" s="581"/>
      <c r="D2" s="581"/>
      <c r="E2" s="581"/>
      <c r="F2" s="581"/>
      <c r="G2" s="581"/>
      <c r="H2" s="581"/>
      <c r="I2" s="581"/>
    </row>
    <row r="3" spans="1:9" ht="18.75" customHeight="1">
      <c r="A3" s="581"/>
      <c r="B3" s="581"/>
      <c r="C3" s="581"/>
      <c r="D3" s="581"/>
      <c r="E3" s="581"/>
      <c r="F3" s="581"/>
      <c r="G3" s="581"/>
      <c r="H3" s="581"/>
      <c r="I3" s="581"/>
    </row>
    <row r="4" spans="1:9" ht="18.75" customHeight="1">
      <c r="A4" s="581"/>
      <c r="B4" s="581"/>
      <c r="C4" s="581"/>
      <c r="D4" s="581"/>
      <c r="E4" s="581"/>
      <c r="F4" s="581"/>
      <c r="G4" s="581"/>
      <c r="H4" s="581"/>
      <c r="I4" s="581"/>
    </row>
    <row r="5" spans="1:9" ht="18.75" customHeight="1">
      <c r="A5" s="581"/>
      <c r="B5" s="581"/>
      <c r="C5" s="581"/>
      <c r="D5" s="581"/>
      <c r="E5" s="581"/>
      <c r="F5" s="581"/>
      <c r="G5" s="581"/>
      <c r="H5" s="581"/>
      <c r="I5" s="581"/>
    </row>
    <row r="6" spans="1:9" ht="18.75" customHeight="1">
      <c r="A6" s="581"/>
      <c r="B6" s="581"/>
      <c r="C6" s="581"/>
      <c r="D6" s="581"/>
      <c r="E6" s="581"/>
      <c r="F6" s="581"/>
      <c r="G6" s="581"/>
      <c r="H6" s="581"/>
      <c r="I6" s="581"/>
    </row>
    <row r="7" spans="1:9" ht="18.75" customHeight="1">
      <c r="A7" s="581"/>
      <c r="B7" s="581"/>
      <c r="C7" s="581"/>
      <c r="D7" s="581"/>
      <c r="E7" s="581"/>
      <c r="F7" s="581"/>
      <c r="G7" s="581"/>
      <c r="H7" s="581"/>
      <c r="I7" s="581"/>
    </row>
    <row r="8" spans="1:9">
      <c r="A8" s="582" t="s">
        <v>45</v>
      </c>
      <c r="B8" s="582"/>
      <c r="C8" s="582"/>
      <c r="D8" s="582"/>
      <c r="E8" s="582"/>
      <c r="F8" s="582"/>
      <c r="G8" s="582"/>
      <c r="H8" s="582"/>
      <c r="I8" s="582"/>
    </row>
    <row r="9" spans="1:9">
      <c r="A9" s="582"/>
      <c r="B9" s="582"/>
      <c r="C9" s="582"/>
      <c r="D9" s="582"/>
      <c r="E9" s="582"/>
      <c r="F9" s="582"/>
      <c r="G9" s="582"/>
      <c r="H9" s="582"/>
      <c r="I9" s="582"/>
    </row>
    <row r="10" spans="1:9">
      <c r="A10" s="582"/>
      <c r="B10" s="582"/>
      <c r="C10" s="582"/>
      <c r="D10" s="582"/>
      <c r="E10" s="582"/>
      <c r="F10" s="582"/>
      <c r="G10" s="582"/>
      <c r="H10" s="582"/>
      <c r="I10" s="582"/>
    </row>
    <row r="11" spans="1:9">
      <c r="A11" s="582"/>
      <c r="B11" s="582"/>
      <c r="C11" s="582"/>
      <c r="D11" s="582"/>
      <c r="E11" s="582"/>
      <c r="F11" s="582"/>
      <c r="G11" s="582"/>
      <c r="H11" s="582"/>
      <c r="I11" s="582"/>
    </row>
    <row r="12" spans="1:9">
      <c r="A12" s="582"/>
      <c r="B12" s="582"/>
      <c r="C12" s="582"/>
      <c r="D12" s="582"/>
      <c r="E12" s="582"/>
      <c r="F12" s="582"/>
      <c r="G12" s="582"/>
      <c r="H12" s="582"/>
      <c r="I12" s="582"/>
    </row>
    <row r="13" spans="1:9">
      <c r="A13" s="582"/>
      <c r="B13" s="582"/>
      <c r="C13" s="582"/>
      <c r="D13" s="582"/>
      <c r="E13" s="582"/>
      <c r="F13" s="582"/>
      <c r="G13" s="582"/>
      <c r="H13" s="582"/>
      <c r="I13" s="582"/>
    </row>
    <row r="14" spans="1:9">
      <c r="A14" s="582"/>
      <c r="B14" s="582"/>
      <c r="C14" s="582"/>
      <c r="D14" s="582"/>
      <c r="E14" s="582"/>
      <c r="F14" s="582"/>
      <c r="G14" s="582"/>
      <c r="H14" s="582"/>
      <c r="I14" s="582"/>
    </row>
    <row r="15" spans="1:9" ht="19.5" customHeight="1" thickBot="1">
      <c r="A15" s="337"/>
    </row>
    <row r="16" spans="1:9" ht="19.5" customHeight="1" thickBot="1">
      <c r="A16" s="583" t="s">
        <v>30</v>
      </c>
      <c r="B16" s="584"/>
      <c r="C16" s="584"/>
      <c r="D16" s="584"/>
      <c r="E16" s="584"/>
      <c r="F16" s="584"/>
      <c r="G16" s="584"/>
      <c r="H16" s="585"/>
    </row>
    <row r="17" spans="1:14" ht="20.25" customHeight="1">
      <c r="A17" s="586" t="s">
        <v>46</v>
      </c>
      <c r="B17" s="586"/>
      <c r="C17" s="586"/>
      <c r="D17" s="586"/>
      <c r="E17" s="586"/>
      <c r="F17" s="586"/>
      <c r="G17" s="586"/>
      <c r="H17" s="586"/>
    </row>
    <row r="18" spans="1:14" ht="26.25" customHeight="1">
      <c r="A18" s="338" t="s">
        <v>32</v>
      </c>
      <c r="B18" s="587" t="str">
        <f>Lamivudine!B18</f>
        <v>Efavirenz 600mg, Lamivudine 300mg and Tenofovir Disoproxil Fumarate 300mg Tablets</v>
      </c>
      <c r="C18" s="587"/>
      <c r="D18" s="339"/>
      <c r="E18" s="340"/>
      <c r="F18" s="341"/>
      <c r="G18" s="341"/>
      <c r="H18" s="341"/>
    </row>
    <row r="19" spans="1:14" ht="26.25" customHeight="1">
      <c r="A19" s="338" t="s">
        <v>33</v>
      </c>
      <c r="B19" s="342" t="s">
        <v>134</v>
      </c>
      <c r="C19" s="343">
        <v>1</v>
      </c>
      <c r="D19" s="341"/>
      <c r="E19" s="341"/>
      <c r="F19" s="341"/>
      <c r="G19" s="341"/>
      <c r="H19" s="341"/>
    </row>
    <row r="20" spans="1:14" ht="26.25" customHeight="1">
      <c r="A20" s="338" t="s">
        <v>34</v>
      </c>
      <c r="B20" s="588" t="s">
        <v>129</v>
      </c>
      <c r="C20" s="588"/>
      <c r="D20" s="341"/>
      <c r="E20" s="341"/>
      <c r="F20" s="341"/>
      <c r="G20" s="341"/>
      <c r="H20" s="341"/>
    </row>
    <row r="21" spans="1:14" ht="26.25" customHeight="1">
      <c r="A21" s="338" t="s">
        <v>35</v>
      </c>
      <c r="B21" s="588" t="s">
        <v>130</v>
      </c>
      <c r="C21" s="588"/>
      <c r="D21" s="588"/>
      <c r="E21" s="588"/>
      <c r="F21" s="588"/>
      <c r="G21" s="588"/>
      <c r="H21" s="588"/>
      <c r="I21" s="344"/>
    </row>
    <row r="22" spans="1:14" ht="26.25" customHeight="1">
      <c r="A22" s="338" t="s">
        <v>36</v>
      </c>
      <c r="B22" s="345">
        <v>42259</v>
      </c>
      <c r="C22" s="341"/>
      <c r="D22" s="341"/>
      <c r="E22" s="341"/>
      <c r="F22" s="341"/>
      <c r="G22" s="341"/>
      <c r="H22" s="341"/>
    </row>
    <row r="23" spans="1:14" ht="26.25" customHeight="1">
      <c r="A23" s="338" t="s">
        <v>37</v>
      </c>
      <c r="B23" s="345">
        <v>42278</v>
      </c>
      <c r="C23" s="341"/>
      <c r="D23" s="341"/>
      <c r="E23" s="341"/>
      <c r="F23" s="341"/>
      <c r="G23" s="341"/>
      <c r="H23" s="341"/>
    </row>
    <row r="24" spans="1:14" ht="18.75">
      <c r="A24" s="338"/>
      <c r="B24" s="346"/>
    </row>
    <row r="25" spans="1:14" ht="18.75">
      <c r="A25" s="347" t="s">
        <v>1</v>
      </c>
      <c r="B25" s="346"/>
    </row>
    <row r="26" spans="1:14" ht="26.25" customHeight="1">
      <c r="A26" s="348" t="s">
        <v>4</v>
      </c>
      <c r="B26" s="587" t="s">
        <v>131</v>
      </c>
      <c r="C26" s="587"/>
    </row>
    <row r="27" spans="1:14" ht="26.25" customHeight="1">
      <c r="A27" s="349" t="s">
        <v>47</v>
      </c>
      <c r="B27" s="589" t="s">
        <v>132</v>
      </c>
      <c r="C27" s="589"/>
    </row>
    <row r="28" spans="1:14" ht="27" customHeight="1" thickBot="1">
      <c r="A28" s="349" t="s">
        <v>6</v>
      </c>
      <c r="B28" s="350">
        <v>99.3</v>
      </c>
    </row>
    <row r="29" spans="1:14" s="303" customFormat="1" ht="27" customHeight="1" thickBot="1">
      <c r="A29" s="349" t="s">
        <v>48</v>
      </c>
      <c r="B29" s="351">
        <v>0</v>
      </c>
      <c r="C29" s="570" t="s">
        <v>49</v>
      </c>
      <c r="D29" s="571"/>
      <c r="E29" s="571"/>
      <c r="F29" s="571"/>
      <c r="G29" s="572"/>
      <c r="I29" s="352"/>
      <c r="J29" s="352"/>
      <c r="K29" s="352"/>
      <c r="L29" s="352"/>
    </row>
    <row r="30" spans="1:14" s="303" customFormat="1" ht="19.5" customHeight="1" thickBot="1">
      <c r="A30" s="349" t="s">
        <v>50</v>
      </c>
      <c r="B30" s="353">
        <f>B28-B29</f>
        <v>99.3</v>
      </c>
      <c r="C30" s="354"/>
      <c r="D30" s="354"/>
      <c r="E30" s="354"/>
      <c r="F30" s="354"/>
      <c r="G30" s="355"/>
      <c r="I30" s="352"/>
      <c r="J30" s="352"/>
      <c r="K30" s="352"/>
      <c r="L30" s="352"/>
    </row>
    <row r="31" spans="1:14" s="303" customFormat="1" ht="27" customHeight="1" thickBot="1">
      <c r="A31" s="349" t="s">
        <v>51</v>
      </c>
      <c r="B31" s="356">
        <v>1</v>
      </c>
      <c r="C31" s="573" t="s">
        <v>52</v>
      </c>
      <c r="D31" s="574"/>
      <c r="E31" s="574"/>
      <c r="F31" s="574"/>
      <c r="G31" s="574"/>
      <c r="H31" s="575"/>
      <c r="I31" s="352"/>
      <c r="J31" s="352"/>
      <c r="K31" s="352"/>
      <c r="L31" s="352"/>
    </row>
    <row r="32" spans="1:14" s="303" customFormat="1" ht="27" customHeight="1" thickBot="1">
      <c r="A32" s="349" t="s">
        <v>53</v>
      </c>
      <c r="B32" s="356">
        <v>1</v>
      </c>
      <c r="C32" s="573" t="s">
        <v>54</v>
      </c>
      <c r="D32" s="574"/>
      <c r="E32" s="574"/>
      <c r="F32" s="574"/>
      <c r="G32" s="574"/>
      <c r="H32" s="575"/>
      <c r="I32" s="352"/>
      <c r="J32" s="352"/>
      <c r="K32" s="352"/>
      <c r="L32" s="357"/>
      <c r="M32" s="357"/>
      <c r="N32" s="358"/>
    </row>
    <row r="33" spans="1:14" s="303" customFormat="1" ht="17.25" customHeight="1">
      <c r="A33" s="349"/>
      <c r="B33" s="359"/>
      <c r="C33" s="360"/>
      <c r="D33" s="360"/>
      <c r="E33" s="360"/>
      <c r="F33" s="360"/>
      <c r="G33" s="360"/>
      <c r="H33" s="360"/>
      <c r="I33" s="352"/>
      <c r="J33" s="352"/>
      <c r="K33" s="352"/>
      <c r="L33" s="357"/>
      <c r="M33" s="357"/>
      <c r="N33" s="358"/>
    </row>
    <row r="34" spans="1:14" s="303" customFormat="1" ht="18.75">
      <c r="A34" s="349" t="s">
        <v>55</v>
      </c>
      <c r="B34" s="361">
        <f>B31/B32</f>
        <v>1</v>
      </c>
      <c r="C34" s="337" t="s">
        <v>56</v>
      </c>
      <c r="D34" s="337"/>
      <c r="E34" s="337"/>
      <c r="F34" s="337"/>
      <c r="G34" s="337"/>
      <c r="I34" s="352"/>
      <c r="J34" s="352"/>
      <c r="K34" s="352"/>
      <c r="L34" s="357"/>
      <c r="M34" s="357"/>
      <c r="N34" s="358"/>
    </row>
    <row r="35" spans="1:14" s="303" customFormat="1" ht="19.5" customHeight="1" thickBot="1">
      <c r="A35" s="349"/>
      <c r="B35" s="353"/>
      <c r="G35" s="337"/>
      <c r="I35" s="352"/>
      <c r="J35" s="352"/>
      <c r="K35" s="352"/>
      <c r="L35" s="357"/>
      <c r="M35" s="357"/>
      <c r="N35" s="358"/>
    </row>
    <row r="36" spans="1:14" s="303" customFormat="1" ht="27" customHeight="1" thickBot="1">
      <c r="A36" s="362" t="s">
        <v>57</v>
      </c>
      <c r="B36" s="363">
        <v>10</v>
      </c>
      <c r="C36" s="337"/>
      <c r="D36" s="560" t="s">
        <v>58</v>
      </c>
      <c r="E36" s="580"/>
      <c r="F36" s="560" t="s">
        <v>59</v>
      </c>
      <c r="G36" s="561"/>
      <c r="J36" s="352"/>
      <c r="K36" s="352"/>
      <c r="L36" s="357"/>
      <c r="M36" s="357"/>
      <c r="N36" s="358"/>
    </row>
    <row r="37" spans="1:14" s="303" customFormat="1" ht="27" customHeight="1" thickBot="1">
      <c r="A37" s="364" t="s">
        <v>60</v>
      </c>
      <c r="B37" s="365">
        <v>1</v>
      </c>
      <c r="C37" s="366" t="s">
        <v>61</v>
      </c>
      <c r="D37" s="367" t="s">
        <v>62</v>
      </c>
      <c r="E37" s="368" t="s">
        <v>63</v>
      </c>
      <c r="F37" s="367" t="s">
        <v>62</v>
      </c>
      <c r="G37" s="369" t="s">
        <v>63</v>
      </c>
      <c r="I37" s="370" t="s">
        <v>64</v>
      </c>
      <c r="J37" s="352"/>
      <c r="K37" s="352"/>
      <c r="L37" s="357"/>
      <c r="M37" s="357"/>
      <c r="N37" s="358"/>
    </row>
    <row r="38" spans="1:14" s="303" customFormat="1" ht="26.25" customHeight="1">
      <c r="A38" s="364" t="s">
        <v>65</v>
      </c>
      <c r="B38" s="365">
        <v>25</v>
      </c>
      <c r="C38" s="371">
        <v>1</v>
      </c>
      <c r="D38" s="372">
        <v>113260389</v>
      </c>
      <c r="E38" s="373">
        <f>IF(ISBLANK(D38),"-",$D$48/$D$45*D38)</f>
        <v>125707715.58144337</v>
      </c>
      <c r="F38" s="372">
        <v>109797202</v>
      </c>
      <c r="G38" s="374">
        <f>IF(ISBLANK(F38),"-",$D$48/$F$45*F38)</f>
        <v>126996018.8393795</v>
      </c>
      <c r="I38" s="375"/>
      <c r="J38" s="352"/>
      <c r="K38" s="352"/>
      <c r="L38" s="357"/>
      <c r="M38" s="357"/>
      <c r="N38" s="358"/>
    </row>
    <row r="39" spans="1:14" s="303" customFormat="1" ht="26.25" customHeight="1">
      <c r="A39" s="364" t="s">
        <v>66</v>
      </c>
      <c r="B39" s="365">
        <v>1</v>
      </c>
      <c r="C39" s="376">
        <v>2</v>
      </c>
      <c r="D39" s="377">
        <v>113702115</v>
      </c>
      <c r="E39" s="378">
        <f>IF(ISBLANK(D39),"-",$D$48/$D$45*D39)</f>
        <v>126197987.30718261</v>
      </c>
      <c r="F39" s="377">
        <v>110266027</v>
      </c>
      <c r="G39" s="379">
        <f>IF(ISBLANK(F39),"-",$D$48/$F$45*F39)</f>
        <v>127538281.36927868</v>
      </c>
      <c r="I39" s="551">
        <f>ABS((F43/D43*D42)-F42)/D42</f>
        <v>9.3530317753128776E-3</v>
      </c>
      <c r="J39" s="352"/>
      <c r="K39" s="352"/>
      <c r="L39" s="357"/>
      <c r="M39" s="357"/>
      <c r="N39" s="358"/>
    </row>
    <row r="40" spans="1:14" ht="26.25" customHeight="1">
      <c r="A40" s="364" t="s">
        <v>67</v>
      </c>
      <c r="B40" s="365">
        <v>1</v>
      </c>
      <c r="C40" s="376">
        <v>3</v>
      </c>
      <c r="D40" s="377">
        <v>113785688</v>
      </c>
      <c r="E40" s="378">
        <f>IF(ISBLANK(D40),"-",$D$48/$D$45*D40)</f>
        <v>126290744.98713626</v>
      </c>
      <c r="F40" s="377">
        <v>110101859</v>
      </c>
      <c r="G40" s="379">
        <f>IF(ISBLANK(F40),"-",$D$48/$F$45*F40)</f>
        <v>127348397.8199618</v>
      </c>
      <c r="I40" s="551"/>
      <c r="L40" s="357"/>
      <c r="M40" s="357"/>
      <c r="N40" s="337"/>
    </row>
    <row r="41" spans="1:14" ht="27" customHeight="1" thickBot="1">
      <c r="A41" s="364" t="s">
        <v>68</v>
      </c>
      <c r="B41" s="365">
        <v>1</v>
      </c>
      <c r="C41" s="380">
        <v>4</v>
      </c>
      <c r="D41" s="381"/>
      <c r="E41" s="382" t="str">
        <f>IF(ISBLANK(D41),"-",$D$48/$D$45*D41)</f>
        <v>-</v>
      </c>
      <c r="F41" s="381"/>
      <c r="G41" s="383" t="str">
        <f>IF(ISBLANK(F41),"-",$D$48/$F$45*F41)</f>
        <v>-</v>
      </c>
      <c r="I41" s="384"/>
      <c r="L41" s="357"/>
      <c r="M41" s="357"/>
      <c r="N41" s="337"/>
    </row>
    <row r="42" spans="1:14" ht="27" customHeight="1" thickBot="1">
      <c r="A42" s="364" t="s">
        <v>69</v>
      </c>
      <c r="B42" s="365">
        <v>1</v>
      </c>
      <c r="C42" s="385" t="s">
        <v>70</v>
      </c>
      <c r="D42" s="386">
        <f>AVERAGE(D38:D41)</f>
        <v>113582730.66666667</v>
      </c>
      <c r="E42" s="387">
        <f>AVERAGE(E38:E41)</f>
        <v>126065482.62525408</v>
      </c>
      <c r="F42" s="386">
        <f>AVERAGE(F38:F41)</f>
        <v>110055029.33333333</v>
      </c>
      <c r="G42" s="388">
        <f>AVERAGE(G38:G41)</f>
        <v>127294232.67620666</v>
      </c>
      <c r="H42" s="328"/>
    </row>
    <row r="43" spans="1:14" ht="26.25" customHeight="1">
      <c r="A43" s="364" t="s">
        <v>71</v>
      </c>
      <c r="B43" s="365">
        <v>1</v>
      </c>
      <c r="C43" s="389" t="s">
        <v>72</v>
      </c>
      <c r="D43" s="390">
        <v>27.22</v>
      </c>
      <c r="E43" s="337"/>
      <c r="F43" s="390">
        <v>26.12</v>
      </c>
      <c r="H43" s="328"/>
    </row>
    <row r="44" spans="1:14" ht="26.25" customHeight="1">
      <c r="A44" s="364" t="s">
        <v>73</v>
      </c>
      <c r="B44" s="365">
        <v>1</v>
      </c>
      <c r="C44" s="391" t="s">
        <v>74</v>
      </c>
      <c r="D44" s="392">
        <f>D43*$B$34</f>
        <v>27.22</v>
      </c>
      <c r="E44" s="393"/>
      <c r="F44" s="392">
        <f>F43*$B$34</f>
        <v>26.12</v>
      </c>
      <c r="H44" s="328"/>
    </row>
    <row r="45" spans="1:14" ht="19.5" customHeight="1" thickBot="1">
      <c r="A45" s="364" t="s">
        <v>75</v>
      </c>
      <c r="B45" s="376">
        <f>(B44/B43)*(B42/B41)*(B40/B39)*(B38/B37)*B36</f>
        <v>250</v>
      </c>
      <c r="C45" s="391" t="s">
        <v>76</v>
      </c>
      <c r="D45" s="394">
        <f>D44*$B$30/100</f>
        <v>27.02946</v>
      </c>
      <c r="E45" s="395"/>
      <c r="F45" s="394">
        <f>F44*$B$30/100</f>
        <v>25.937159999999999</v>
      </c>
      <c r="H45" s="328"/>
    </row>
    <row r="46" spans="1:14" ht="19.5" customHeight="1" thickBot="1">
      <c r="A46" s="552" t="s">
        <v>77</v>
      </c>
      <c r="B46" s="556"/>
      <c r="C46" s="391" t="s">
        <v>78</v>
      </c>
      <c r="D46" s="396">
        <f>D45/$B$45</f>
        <v>0.10811784000000001</v>
      </c>
      <c r="E46" s="397"/>
      <c r="F46" s="398">
        <f>F45/$B$45</f>
        <v>0.10374863999999999</v>
      </c>
      <c r="H46" s="328"/>
    </row>
    <row r="47" spans="1:14" ht="27" customHeight="1" thickBot="1">
      <c r="A47" s="554"/>
      <c r="B47" s="557"/>
      <c r="C47" s="399" t="s">
        <v>79</v>
      </c>
      <c r="D47" s="400">
        <v>0.12</v>
      </c>
      <c r="E47" s="401"/>
      <c r="F47" s="397"/>
      <c r="H47" s="328"/>
    </row>
    <row r="48" spans="1:14" ht="18.75">
      <c r="C48" s="402" t="s">
        <v>80</v>
      </c>
      <c r="D48" s="394">
        <f>D47*$B$45</f>
        <v>30</v>
      </c>
      <c r="F48" s="403"/>
      <c r="H48" s="328"/>
    </row>
    <row r="49" spans="1:12" ht="19.5" customHeight="1" thickBot="1">
      <c r="C49" s="404" t="s">
        <v>81</v>
      </c>
      <c r="D49" s="405">
        <f>D48/B34</f>
        <v>30</v>
      </c>
      <c r="F49" s="403"/>
      <c r="H49" s="328"/>
    </row>
    <row r="50" spans="1:12" ht="18.75">
      <c r="C50" s="362" t="s">
        <v>82</v>
      </c>
      <c r="D50" s="406">
        <f>AVERAGE(E38:E41,G38:G41)</f>
        <v>126679857.65073037</v>
      </c>
      <c r="F50" s="407"/>
      <c r="H50" s="328"/>
    </row>
    <row r="51" spans="1:12" ht="18.75">
      <c r="C51" s="364" t="s">
        <v>83</v>
      </c>
      <c r="D51" s="408">
        <f>STDEV(E38:E41,G38:G41)/D50</f>
        <v>5.7060097303235999E-3</v>
      </c>
      <c r="F51" s="407"/>
      <c r="H51" s="328"/>
    </row>
    <row r="52" spans="1:12" ht="19.5" customHeight="1" thickBot="1">
      <c r="C52" s="409" t="s">
        <v>19</v>
      </c>
      <c r="D52" s="410">
        <f>COUNT(E38:E41,G38:G41)</f>
        <v>6</v>
      </c>
      <c r="F52" s="407"/>
    </row>
    <row r="54" spans="1:12" ht="18.75">
      <c r="A54" s="411" t="s">
        <v>1</v>
      </c>
      <c r="B54" s="412" t="s">
        <v>84</v>
      </c>
    </row>
    <row r="55" spans="1:12" ht="18.75">
      <c r="A55" s="337" t="s">
        <v>85</v>
      </c>
      <c r="B55" s="413" t="str">
        <f>B21</f>
        <v>Each film-coated tablet contains Efavirenz 600mg</v>
      </c>
    </row>
    <row r="56" spans="1:12" ht="26.25" customHeight="1">
      <c r="A56" s="413" t="s">
        <v>86</v>
      </c>
      <c r="B56" s="414">
        <v>600</v>
      </c>
      <c r="C56" s="337" t="str">
        <f>B20</f>
        <v>EFAVIRENZ</v>
      </c>
      <c r="H56" s="393"/>
    </row>
    <row r="57" spans="1:12" ht="18.75">
      <c r="A57" s="413" t="s">
        <v>87</v>
      </c>
      <c r="B57" s="415">
        <f>Uniformity!C46</f>
        <v>1895.1734999999996</v>
      </c>
      <c r="H57" s="393"/>
    </row>
    <row r="58" spans="1:12" ht="19.5" customHeight="1" thickBot="1">
      <c r="H58" s="393"/>
    </row>
    <row r="59" spans="1:12" s="303" customFormat="1" ht="27" customHeight="1" thickBot="1">
      <c r="A59" s="362" t="s">
        <v>88</v>
      </c>
      <c r="B59" s="363">
        <v>100</v>
      </c>
      <c r="C59" s="337"/>
      <c r="D59" s="416" t="s">
        <v>89</v>
      </c>
      <c r="E59" s="417" t="s">
        <v>61</v>
      </c>
      <c r="F59" s="417" t="s">
        <v>62</v>
      </c>
      <c r="G59" s="417" t="s">
        <v>90</v>
      </c>
      <c r="H59" s="366" t="s">
        <v>91</v>
      </c>
      <c r="L59" s="352"/>
    </row>
    <row r="60" spans="1:12" s="303" customFormat="1" ht="26.25" customHeight="1">
      <c r="A60" s="364" t="s">
        <v>92</v>
      </c>
      <c r="B60" s="365">
        <v>5</v>
      </c>
      <c r="C60" s="562" t="s">
        <v>93</v>
      </c>
      <c r="D60" s="565">
        <f>Lamivudine!D60</f>
        <v>1927.81</v>
      </c>
      <c r="E60" s="418">
        <v>1</v>
      </c>
      <c r="F60" s="419">
        <v>126990751</v>
      </c>
      <c r="G60" s="420">
        <f>IF(ISBLANK(F60),"-",(F60/$D$50*$D$47*$B$68)*($B$57/$D$60))</f>
        <v>591.28998281444831</v>
      </c>
      <c r="H60" s="421">
        <f>IF(ISBLANK(F60),"-",G60/$B$56)</f>
        <v>0.98548330469074719</v>
      </c>
      <c r="L60" s="352"/>
    </row>
    <row r="61" spans="1:12" s="303" customFormat="1" ht="26.25" customHeight="1">
      <c r="A61" s="364" t="s">
        <v>94</v>
      </c>
      <c r="B61" s="365">
        <v>250</v>
      </c>
      <c r="C61" s="563"/>
      <c r="D61" s="566"/>
      <c r="E61" s="422">
        <v>2</v>
      </c>
      <c r="F61" s="377">
        <v>126815200</v>
      </c>
      <c r="G61" s="423">
        <f>IF(ISBLANK(F61),"-",(F61/$D$50*$D$47*$B$68)*($B$57/$D$60))</f>
        <v>590.47258826440702</v>
      </c>
      <c r="H61" s="424">
        <f t="shared" ref="H61:H71" si="0">IF(ISBLANK(F61),"-",G61/$B$56)</f>
        <v>0.98412098044067842</v>
      </c>
      <c r="L61" s="352"/>
    </row>
    <row r="62" spans="1:12" s="303" customFormat="1" ht="26.25" customHeight="1">
      <c r="A62" s="364" t="s">
        <v>95</v>
      </c>
      <c r="B62" s="365">
        <v>1</v>
      </c>
      <c r="C62" s="563"/>
      <c r="D62" s="566"/>
      <c r="E62" s="422">
        <v>3</v>
      </c>
      <c r="F62" s="425">
        <v>127260089</v>
      </c>
      <c r="G62" s="423">
        <f>IF(ISBLANK(F62),"-",(F62/$D$50*$D$47*$B$68)*($B$57/$D$60))</f>
        <v>592.54406517979555</v>
      </c>
      <c r="H62" s="424">
        <f t="shared" si="0"/>
        <v>0.9875734419663259</v>
      </c>
      <c r="L62" s="352"/>
    </row>
    <row r="63" spans="1:12" ht="27" customHeight="1" thickBot="1">
      <c r="A63" s="364" t="s">
        <v>96</v>
      </c>
      <c r="B63" s="365">
        <v>1</v>
      </c>
      <c r="C63" s="564"/>
      <c r="D63" s="567"/>
      <c r="E63" s="426">
        <v>4</v>
      </c>
      <c r="F63" s="427"/>
      <c r="G63" s="423" t="str">
        <f>IF(ISBLANK(F63),"-",(F63/$D$50*$D$47*$B$68)*($B$57/$D$60))</f>
        <v>-</v>
      </c>
      <c r="H63" s="424" t="str">
        <f t="shared" si="0"/>
        <v>-</v>
      </c>
    </row>
    <row r="64" spans="1:12" ht="26.25" customHeight="1">
      <c r="A64" s="364" t="s">
        <v>97</v>
      </c>
      <c r="B64" s="365">
        <v>1</v>
      </c>
      <c r="C64" s="562" t="s">
        <v>98</v>
      </c>
      <c r="D64" s="565">
        <f>Lamivudine!D64</f>
        <v>1861.2</v>
      </c>
      <c r="E64" s="418">
        <v>1</v>
      </c>
      <c r="F64" s="419">
        <v>124665129</v>
      </c>
      <c r="G64" s="428">
        <f>IF(ISBLANK(F64),"-",(F64/$D$50*$D$47*$B$68)*($B$57/$D$64))</f>
        <v>601.23548620885413</v>
      </c>
      <c r="H64" s="429">
        <f>IF(ISBLANK(F64),"-",G64/$B$56)</f>
        <v>1.0020591436814235</v>
      </c>
    </row>
    <row r="65" spans="1:8" ht="26.25" customHeight="1">
      <c r="A65" s="364" t="s">
        <v>99</v>
      </c>
      <c r="B65" s="365">
        <v>1</v>
      </c>
      <c r="C65" s="563"/>
      <c r="D65" s="566"/>
      <c r="E65" s="422">
        <v>2</v>
      </c>
      <c r="F65" s="377">
        <v>126288231</v>
      </c>
      <c r="G65" s="430">
        <f>IF(ISBLANK(F65),"-",(F65/$D$50*$D$47*$B$68)*($B$57/$D$64))</f>
        <v>609.06338907122199</v>
      </c>
      <c r="H65" s="431">
        <f t="shared" si="0"/>
        <v>1.0151056484520367</v>
      </c>
    </row>
    <row r="66" spans="1:8" ht="26.25" customHeight="1">
      <c r="A66" s="364" t="s">
        <v>100</v>
      </c>
      <c r="B66" s="365">
        <v>1</v>
      </c>
      <c r="C66" s="563"/>
      <c r="D66" s="566"/>
      <c r="E66" s="422">
        <v>3</v>
      </c>
      <c r="F66" s="377">
        <v>127283752</v>
      </c>
      <c r="G66" s="430">
        <f>IF(ISBLANK(F66),"-",(F66/$D$50*$D$47*$B$68)*($B$57/$D$64))</f>
        <v>613.86459175931384</v>
      </c>
      <c r="H66" s="431">
        <f t="shared" si="0"/>
        <v>1.0231076529321896</v>
      </c>
    </row>
    <row r="67" spans="1:8" ht="27" customHeight="1" thickBot="1">
      <c r="A67" s="364" t="s">
        <v>101</v>
      </c>
      <c r="B67" s="365">
        <v>1</v>
      </c>
      <c r="C67" s="564"/>
      <c r="D67" s="567"/>
      <c r="E67" s="426">
        <v>4</v>
      </c>
      <c r="F67" s="427"/>
      <c r="G67" s="432" t="str">
        <f>IF(ISBLANK(F67),"-",(F67/$D$50*$D$47*$B$68)*($B$57/$D$64))</f>
        <v>-</v>
      </c>
      <c r="H67" s="433" t="str">
        <f t="shared" si="0"/>
        <v>-</v>
      </c>
    </row>
    <row r="68" spans="1:8" ht="26.25" customHeight="1">
      <c r="A68" s="364" t="s">
        <v>102</v>
      </c>
      <c r="B68" s="434">
        <f>(B67/B66)*(B65/B64)*(B63/B62)*(B61/B60)*B59</f>
        <v>5000</v>
      </c>
      <c r="C68" s="562" t="s">
        <v>103</v>
      </c>
      <c r="D68" s="565">
        <f>Lamivudine!D68</f>
        <v>1888.16</v>
      </c>
      <c r="E68" s="418">
        <v>1</v>
      </c>
      <c r="F68" s="419">
        <v>125983609</v>
      </c>
      <c r="G68" s="428">
        <f>IF(ISBLANK(F68),"-",(F68/$D$50*$D$47*$B$68)*($B$57/$D$68))</f>
        <v>598.91875205123472</v>
      </c>
      <c r="H68" s="424">
        <f>IF(ISBLANK(F68),"-",G68/$B$56)</f>
        <v>0.99819792008539121</v>
      </c>
    </row>
    <row r="69" spans="1:8" ht="27" customHeight="1" thickBot="1">
      <c r="A69" s="409" t="s">
        <v>104</v>
      </c>
      <c r="B69" s="435">
        <f>(D47*B68)/B56*B57</f>
        <v>1895.1734999999996</v>
      </c>
      <c r="C69" s="563"/>
      <c r="D69" s="566"/>
      <c r="E69" s="422">
        <v>2</v>
      </c>
      <c r="F69" s="377">
        <v>126635368</v>
      </c>
      <c r="G69" s="430">
        <f>IF(ISBLANK(F69),"-",(F69/$D$50*$D$47*$B$68)*($B$57/$D$68))</f>
        <v>602.01717644165012</v>
      </c>
      <c r="H69" s="424">
        <f t="shared" si="0"/>
        <v>1.0033619607360835</v>
      </c>
    </row>
    <row r="70" spans="1:8" ht="26.25" customHeight="1">
      <c r="A70" s="576" t="s">
        <v>77</v>
      </c>
      <c r="B70" s="577"/>
      <c r="C70" s="563"/>
      <c r="D70" s="566"/>
      <c r="E70" s="422">
        <v>3</v>
      </c>
      <c r="F70" s="377">
        <v>127037900</v>
      </c>
      <c r="G70" s="430">
        <f>IF(ISBLANK(F70),"-",(F70/$D$50*$D$47*$B$68)*($B$57/$D$68))</f>
        <v>603.93079016500917</v>
      </c>
      <c r="H70" s="424">
        <f t="shared" si="0"/>
        <v>1.006551316941682</v>
      </c>
    </row>
    <row r="71" spans="1:8" ht="27" customHeight="1" thickBot="1">
      <c r="A71" s="578"/>
      <c r="B71" s="579"/>
      <c r="C71" s="568"/>
      <c r="D71" s="567"/>
      <c r="E71" s="426">
        <v>4</v>
      </c>
      <c r="F71" s="427"/>
      <c r="G71" s="432" t="str">
        <f>IF(ISBLANK(F71),"-",(F71/$D$50*$D$47*$B$68)*($B$57/$D$68))</f>
        <v>-</v>
      </c>
      <c r="H71" s="436" t="str">
        <f t="shared" si="0"/>
        <v>-</v>
      </c>
    </row>
    <row r="72" spans="1:8" ht="26.25" customHeight="1">
      <c r="A72" s="393"/>
      <c r="B72" s="393"/>
      <c r="C72" s="393"/>
      <c r="D72" s="393"/>
      <c r="E72" s="393"/>
      <c r="F72" s="393"/>
      <c r="G72" s="437" t="s">
        <v>70</v>
      </c>
      <c r="H72" s="438">
        <f>AVERAGE(H60:H71)</f>
        <v>1.0006179299918396</v>
      </c>
    </row>
    <row r="73" spans="1:8" ht="26.25" customHeight="1">
      <c r="C73" s="393"/>
      <c r="D73" s="393"/>
      <c r="E73" s="393"/>
      <c r="F73" s="393"/>
      <c r="G73" s="439" t="s">
        <v>83</v>
      </c>
      <c r="H73" s="440">
        <f>STDEV(H60:H71)/H72</f>
        <v>1.3397479618585648E-2</v>
      </c>
    </row>
    <row r="74" spans="1:8" ht="27" customHeight="1" thickBot="1">
      <c r="A74" s="393"/>
      <c r="B74" s="393"/>
      <c r="C74" s="393"/>
      <c r="D74" s="393"/>
      <c r="E74" s="395"/>
      <c r="F74" s="393"/>
      <c r="G74" s="441" t="s">
        <v>19</v>
      </c>
      <c r="H74" s="442">
        <f>COUNT(H60:H71)</f>
        <v>9</v>
      </c>
    </row>
    <row r="76" spans="1:8" ht="26.25" customHeight="1">
      <c r="A76" s="348" t="s">
        <v>105</v>
      </c>
      <c r="B76" s="349" t="s">
        <v>106</v>
      </c>
      <c r="C76" s="558" t="str">
        <f>B20</f>
        <v>EFAVIRENZ</v>
      </c>
      <c r="D76" s="558"/>
      <c r="E76" s="337" t="s">
        <v>107</v>
      </c>
      <c r="F76" s="337"/>
      <c r="G76" s="443">
        <f>H72</f>
        <v>1.0006179299918396</v>
      </c>
      <c r="H76" s="353"/>
    </row>
    <row r="77" spans="1:8" ht="18.75">
      <c r="A77" s="347" t="s">
        <v>108</v>
      </c>
      <c r="B77" s="347" t="s">
        <v>109</v>
      </c>
    </row>
    <row r="78" spans="1:8" ht="18.75">
      <c r="A78" s="347"/>
      <c r="B78" s="347"/>
    </row>
    <row r="79" spans="1:8" ht="26.25" customHeight="1">
      <c r="A79" s="348" t="s">
        <v>4</v>
      </c>
      <c r="B79" s="569" t="str">
        <f>B26</f>
        <v>Efavirenz</v>
      </c>
      <c r="C79" s="569"/>
    </row>
    <row r="80" spans="1:8" ht="26.25" customHeight="1">
      <c r="A80" s="349" t="s">
        <v>47</v>
      </c>
      <c r="B80" s="569" t="str">
        <f>B27</f>
        <v>E15 3</v>
      </c>
      <c r="C80" s="569"/>
    </row>
    <row r="81" spans="1:12" ht="27" customHeight="1" thickBot="1">
      <c r="A81" s="349" t="s">
        <v>6</v>
      </c>
      <c r="B81" s="350">
        <f>B28</f>
        <v>99.3</v>
      </c>
    </row>
    <row r="82" spans="1:12" s="303" customFormat="1" ht="27" customHeight="1" thickBot="1">
      <c r="A82" s="349" t="s">
        <v>48</v>
      </c>
      <c r="B82" s="351">
        <v>0</v>
      </c>
      <c r="C82" s="570" t="s">
        <v>49</v>
      </c>
      <c r="D82" s="571"/>
      <c r="E82" s="571"/>
      <c r="F82" s="571"/>
      <c r="G82" s="572"/>
      <c r="I82" s="352"/>
      <c r="J82" s="352"/>
      <c r="K82" s="352"/>
      <c r="L82" s="352"/>
    </row>
    <row r="83" spans="1:12" s="303" customFormat="1" ht="19.5" customHeight="1" thickBot="1">
      <c r="A83" s="349" t="s">
        <v>50</v>
      </c>
      <c r="B83" s="353">
        <f>B81-B82</f>
        <v>99.3</v>
      </c>
      <c r="C83" s="354"/>
      <c r="D83" s="354"/>
      <c r="E83" s="354"/>
      <c r="F83" s="354"/>
      <c r="G83" s="355"/>
      <c r="I83" s="352"/>
      <c r="J83" s="352"/>
      <c r="K83" s="352"/>
      <c r="L83" s="352"/>
    </row>
    <row r="84" spans="1:12" s="303" customFormat="1" ht="27" customHeight="1" thickBot="1">
      <c r="A84" s="349" t="s">
        <v>51</v>
      </c>
      <c r="B84" s="356">
        <v>1</v>
      </c>
      <c r="C84" s="573" t="s">
        <v>110</v>
      </c>
      <c r="D84" s="574"/>
      <c r="E84" s="574"/>
      <c r="F84" s="574"/>
      <c r="G84" s="574"/>
      <c r="H84" s="575"/>
      <c r="I84" s="352"/>
      <c r="J84" s="352"/>
      <c r="K84" s="352"/>
      <c r="L84" s="352"/>
    </row>
    <row r="85" spans="1:12" s="303" customFormat="1" ht="27" customHeight="1" thickBot="1">
      <c r="A85" s="349" t="s">
        <v>53</v>
      </c>
      <c r="B85" s="356">
        <v>1</v>
      </c>
      <c r="C85" s="573" t="s">
        <v>111</v>
      </c>
      <c r="D85" s="574"/>
      <c r="E85" s="574"/>
      <c r="F85" s="574"/>
      <c r="G85" s="574"/>
      <c r="H85" s="575"/>
      <c r="I85" s="352"/>
      <c r="J85" s="352"/>
      <c r="K85" s="352"/>
      <c r="L85" s="352"/>
    </row>
    <row r="86" spans="1:12" s="303" customFormat="1" ht="18.75">
      <c r="A86" s="349"/>
      <c r="B86" s="359"/>
      <c r="C86" s="360"/>
      <c r="D86" s="360"/>
      <c r="E86" s="360"/>
      <c r="F86" s="360"/>
      <c r="G86" s="360"/>
      <c r="H86" s="360"/>
      <c r="I86" s="352"/>
      <c r="J86" s="352"/>
      <c r="K86" s="352"/>
      <c r="L86" s="352"/>
    </row>
    <row r="87" spans="1:12" s="303" customFormat="1" ht="18.75">
      <c r="A87" s="349" t="s">
        <v>55</v>
      </c>
      <c r="B87" s="361">
        <f>B84/B85</f>
        <v>1</v>
      </c>
      <c r="C87" s="337" t="s">
        <v>56</v>
      </c>
      <c r="D87" s="337"/>
      <c r="E87" s="337"/>
      <c r="F87" s="337"/>
      <c r="G87" s="337"/>
      <c r="I87" s="352"/>
      <c r="J87" s="352"/>
      <c r="K87" s="352"/>
      <c r="L87" s="352"/>
    </row>
    <row r="88" spans="1:12" ht="19.5" customHeight="1" thickBot="1">
      <c r="A88" s="347"/>
      <c r="B88" s="347"/>
    </row>
    <row r="89" spans="1:12" ht="27" customHeight="1" thickBot="1">
      <c r="A89" s="362" t="s">
        <v>57</v>
      </c>
      <c r="B89" s="363">
        <v>10</v>
      </c>
      <c r="D89" s="444" t="s">
        <v>58</v>
      </c>
      <c r="E89" s="445"/>
      <c r="F89" s="560" t="s">
        <v>59</v>
      </c>
      <c r="G89" s="561"/>
    </row>
    <row r="90" spans="1:12" ht="27" customHeight="1" thickBot="1">
      <c r="A90" s="364" t="s">
        <v>60</v>
      </c>
      <c r="B90" s="365">
        <v>4</v>
      </c>
      <c r="C90" s="446" t="s">
        <v>61</v>
      </c>
      <c r="D90" s="367" t="s">
        <v>62</v>
      </c>
      <c r="E90" s="368" t="s">
        <v>63</v>
      </c>
      <c r="F90" s="367" t="s">
        <v>62</v>
      </c>
      <c r="G90" s="447" t="s">
        <v>63</v>
      </c>
      <c r="I90" s="370" t="s">
        <v>64</v>
      </c>
    </row>
    <row r="91" spans="1:12" ht="26.25" customHeight="1">
      <c r="A91" s="364" t="s">
        <v>65</v>
      </c>
      <c r="B91" s="365">
        <v>25</v>
      </c>
      <c r="C91" s="448">
        <v>1</v>
      </c>
      <c r="D91" s="372">
        <v>229635240</v>
      </c>
      <c r="E91" s="373">
        <f>IF(ISBLANK(D91),"-",$D$101/$D$98*D91)</f>
        <v>289260362.90054393</v>
      </c>
      <c r="F91" s="372">
        <v>259627480</v>
      </c>
      <c r="G91" s="374">
        <f>IF(ISBLANK(F91),"-",$D$101/$F$98*F91)</f>
        <v>280213293.56941867</v>
      </c>
      <c r="I91" s="375"/>
    </row>
    <row r="92" spans="1:12" ht="26.25" customHeight="1">
      <c r="A92" s="364" t="s">
        <v>66</v>
      </c>
      <c r="B92" s="365">
        <v>1</v>
      </c>
      <c r="C92" s="393">
        <v>2</v>
      </c>
      <c r="D92" s="377">
        <v>229725269</v>
      </c>
      <c r="E92" s="378">
        <f>IF(ISBLANK(D92),"-",$D$101/$D$98*D92)</f>
        <v>289373768.06088245</v>
      </c>
      <c r="F92" s="377">
        <v>259812964</v>
      </c>
      <c r="G92" s="379">
        <f>IF(ISBLANK(F92),"-",$D$101/$F$98*F92)</f>
        <v>280413484.56054348</v>
      </c>
      <c r="I92" s="551">
        <f>ABS((F96/D96*D95)-F95)/D95</f>
        <v>3.7308916997368123E-2</v>
      </c>
    </row>
    <row r="93" spans="1:12" ht="26.25" customHeight="1">
      <c r="A93" s="364" t="s">
        <v>67</v>
      </c>
      <c r="B93" s="365">
        <v>1</v>
      </c>
      <c r="C93" s="393">
        <v>3</v>
      </c>
      <c r="D93" s="377">
        <v>230282745</v>
      </c>
      <c r="E93" s="378">
        <f>IF(ISBLANK(D93),"-",$D$101/$D$98*D93)</f>
        <v>290075993.51229113</v>
      </c>
      <c r="F93" s="377"/>
      <c r="G93" s="379" t="str">
        <f>IF(ISBLANK(F93),"-",$D$101/$F$98*F93)</f>
        <v>-</v>
      </c>
      <c r="I93" s="551"/>
    </row>
    <row r="94" spans="1:12" ht="27" customHeight="1" thickBot="1">
      <c r="A94" s="364" t="s">
        <v>68</v>
      </c>
      <c r="B94" s="365">
        <v>1</v>
      </c>
      <c r="C94" s="449">
        <v>4</v>
      </c>
      <c r="D94" s="381"/>
      <c r="E94" s="382" t="str">
        <f>IF(ISBLANK(D94),"-",$D$101/$D$98*D94)</f>
        <v>-</v>
      </c>
      <c r="F94" s="450"/>
      <c r="G94" s="383" t="str">
        <f>IF(ISBLANK(F94),"-",$D$101/$F$98*F94)</f>
        <v>-</v>
      </c>
      <c r="I94" s="384"/>
    </row>
    <row r="95" spans="1:12" ht="27" customHeight="1" thickBot="1">
      <c r="A95" s="364" t="s">
        <v>69</v>
      </c>
      <c r="B95" s="365">
        <v>1</v>
      </c>
      <c r="C95" s="349" t="s">
        <v>70</v>
      </c>
      <c r="D95" s="451">
        <f>AVERAGE(D91:D94)</f>
        <v>229881084.66666666</v>
      </c>
      <c r="E95" s="387">
        <f>AVERAGE(E91:E94)</f>
        <v>289570041.49123913</v>
      </c>
      <c r="F95" s="452">
        <f>AVERAGE(F91:F94)</f>
        <v>259720222</v>
      </c>
      <c r="G95" s="453">
        <f>AVERAGE(G91:G94)</f>
        <v>280313389.0649811</v>
      </c>
    </row>
    <row r="96" spans="1:12" ht="26.25" customHeight="1">
      <c r="A96" s="364" t="s">
        <v>71</v>
      </c>
      <c r="B96" s="350">
        <v>1</v>
      </c>
      <c r="C96" s="454" t="s">
        <v>112</v>
      </c>
      <c r="D96" s="596">
        <v>29.98</v>
      </c>
      <c r="E96" s="337"/>
      <c r="F96" s="390">
        <v>34.99</v>
      </c>
    </row>
    <row r="97" spans="1:10" ht="26.25" customHeight="1">
      <c r="A97" s="364" t="s">
        <v>73</v>
      </c>
      <c r="B97" s="350">
        <v>1</v>
      </c>
      <c r="C97" s="455" t="s">
        <v>113</v>
      </c>
      <c r="D97" s="456">
        <f>D96*$B$87</f>
        <v>29.98</v>
      </c>
      <c r="E97" s="393"/>
      <c r="F97" s="392">
        <f>F96*$B$87</f>
        <v>34.99</v>
      </c>
    </row>
    <row r="98" spans="1:10" ht="19.5" customHeight="1" thickBot="1">
      <c r="A98" s="364" t="s">
        <v>75</v>
      </c>
      <c r="B98" s="393">
        <f>(B97/B96)*(B95/B94)*(B93/B92)*(B91/B90)*B89</f>
        <v>62.5</v>
      </c>
      <c r="C98" s="455" t="s">
        <v>114</v>
      </c>
      <c r="D98" s="457">
        <f>D97*$B$83/100</f>
        <v>29.770140000000001</v>
      </c>
      <c r="E98" s="395"/>
      <c r="F98" s="394">
        <f>F97*$B$83/100</f>
        <v>34.745069999999998</v>
      </c>
    </row>
    <row r="99" spans="1:10" ht="19.5" customHeight="1" thickBot="1">
      <c r="A99" s="552" t="s">
        <v>77</v>
      </c>
      <c r="B99" s="553"/>
      <c r="C99" s="455" t="s">
        <v>115</v>
      </c>
      <c r="D99" s="458">
        <f>D98/$B$98</f>
        <v>0.47632224000000001</v>
      </c>
      <c r="E99" s="395"/>
      <c r="F99" s="398">
        <f>F98/$B$98</f>
        <v>0.55592111999999994</v>
      </c>
      <c r="H99" s="328"/>
    </row>
    <row r="100" spans="1:10" ht="19.5" customHeight="1" thickBot="1">
      <c r="A100" s="554"/>
      <c r="B100" s="555"/>
      <c r="C100" s="455" t="s">
        <v>79</v>
      </c>
      <c r="D100" s="459">
        <f>$B$56/$B$116</f>
        <v>0.6</v>
      </c>
      <c r="F100" s="403"/>
      <c r="G100" s="460"/>
      <c r="H100" s="328"/>
    </row>
    <row r="101" spans="1:10" ht="18.75">
      <c r="C101" s="455" t="s">
        <v>80</v>
      </c>
      <c r="D101" s="456">
        <f>D100*$B$98</f>
        <v>37.5</v>
      </c>
      <c r="F101" s="403"/>
      <c r="H101" s="328"/>
    </row>
    <row r="102" spans="1:10" ht="19.5" customHeight="1" thickBot="1">
      <c r="C102" s="461" t="s">
        <v>81</v>
      </c>
      <c r="D102" s="462">
        <f>D101/B34</f>
        <v>37.5</v>
      </c>
      <c r="F102" s="407"/>
      <c r="H102" s="328"/>
      <c r="J102" s="463"/>
    </row>
    <row r="103" spans="1:10" ht="18.75">
      <c r="C103" s="464" t="s">
        <v>116</v>
      </c>
      <c r="D103" s="465">
        <f>AVERAGE(E91:E94,G91:G94)</f>
        <v>285867380.52073592</v>
      </c>
      <c r="F103" s="407"/>
      <c r="G103" s="460"/>
      <c r="H103" s="328"/>
      <c r="J103" s="466"/>
    </row>
    <row r="104" spans="1:10" ht="18.75">
      <c r="C104" s="439" t="s">
        <v>83</v>
      </c>
      <c r="D104" s="467">
        <f>STDEV(E91:E94,G91:G94)/D103</f>
        <v>1.7771131034470838E-2</v>
      </c>
      <c r="F104" s="407"/>
      <c r="H104" s="328"/>
      <c r="J104" s="466"/>
    </row>
    <row r="105" spans="1:10" ht="19.5" customHeight="1" thickBot="1">
      <c r="C105" s="441" t="s">
        <v>19</v>
      </c>
      <c r="D105" s="468">
        <f>COUNT(E91:E94,G91:G94)</f>
        <v>5</v>
      </c>
      <c r="F105" s="407"/>
      <c r="H105" s="328"/>
      <c r="J105" s="466"/>
    </row>
    <row r="106" spans="1:10" ht="19.5" customHeight="1" thickBot="1">
      <c r="A106" s="411"/>
      <c r="B106" s="411"/>
      <c r="C106" s="411"/>
      <c r="D106" s="411"/>
      <c r="E106" s="411"/>
    </row>
    <row r="107" spans="1:10" ht="26.25" customHeight="1">
      <c r="A107" s="362" t="s">
        <v>117</v>
      </c>
      <c r="B107" s="363">
        <v>1000</v>
      </c>
      <c r="C107" s="444" t="s">
        <v>118</v>
      </c>
      <c r="D107" s="469" t="s">
        <v>62</v>
      </c>
      <c r="E107" s="470" t="s">
        <v>119</v>
      </c>
      <c r="F107" s="471" t="s">
        <v>120</v>
      </c>
    </row>
    <row r="108" spans="1:10" ht="26.25" customHeight="1">
      <c r="A108" s="364" t="s">
        <v>121</v>
      </c>
      <c r="B108" s="365">
        <v>1</v>
      </c>
      <c r="C108" s="472">
        <v>1</v>
      </c>
      <c r="D108" s="473">
        <v>265099818</v>
      </c>
      <c r="E108" s="474">
        <f t="shared" ref="E108:E112" si="1">IF(ISBLANK(D108),"-",D108/$D$103*$D$100*$B$116)</f>
        <v>556.41147482534222</v>
      </c>
      <c r="F108" s="475">
        <f>IF(ISBLANK(D108), "-", E108/$B$56)</f>
        <v>0.92735245804223709</v>
      </c>
    </row>
    <row r="109" spans="1:10" ht="26.25" customHeight="1">
      <c r="A109" s="364" t="s">
        <v>94</v>
      </c>
      <c r="B109" s="365">
        <v>1</v>
      </c>
      <c r="C109" s="472">
        <v>2</v>
      </c>
      <c r="D109" s="473">
        <v>266613858</v>
      </c>
      <c r="E109" s="476">
        <f t="shared" si="1"/>
        <v>559.58925606902676</v>
      </c>
      <c r="F109" s="477">
        <f>IF(ISBLANK(D109), "-", E109/$B$56)</f>
        <v>0.93264876011504461</v>
      </c>
    </row>
    <row r="110" spans="1:10" ht="26.25" customHeight="1">
      <c r="A110" s="364" t="s">
        <v>95</v>
      </c>
      <c r="B110" s="365">
        <v>1</v>
      </c>
      <c r="C110" s="472">
        <v>3</v>
      </c>
      <c r="D110" s="473">
        <v>260187233</v>
      </c>
      <c r="E110" s="476">
        <f t="shared" si="1"/>
        <v>546.10057123560523</v>
      </c>
      <c r="F110" s="477">
        <f>IF(ISBLANK(D110), "-", E110/$B$56)</f>
        <v>0.91016761872600871</v>
      </c>
    </row>
    <row r="111" spans="1:10" ht="26.25" customHeight="1">
      <c r="A111" s="364" t="s">
        <v>96</v>
      </c>
      <c r="B111" s="365">
        <v>1</v>
      </c>
      <c r="C111" s="472">
        <v>4</v>
      </c>
      <c r="D111" s="473">
        <v>263229789</v>
      </c>
      <c r="E111" s="476">
        <f t="shared" si="1"/>
        <v>552.48651704262454</v>
      </c>
      <c r="F111" s="477">
        <f t="shared" ref="F111:F113" si="2">IF(ISBLANK(D111), "-", E111/$B$56)</f>
        <v>0.92081086173770754</v>
      </c>
    </row>
    <row r="112" spans="1:10" ht="26.25" customHeight="1">
      <c r="A112" s="364" t="s">
        <v>97</v>
      </c>
      <c r="B112" s="365">
        <v>1</v>
      </c>
      <c r="C112" s="472">
        <v>5</v>
      </c>
      <c r="D112" s="473">
        <v>260795120</v>
      </c>
      <c r="E112" s="476">
        <f t="shared" si="1"/>
        <v>547.37645027901192</v>
      </c>
      <c r="F112" s="477">
        <f>IF(ISBLANK(D112), "-", E112/$B$56)</f>
        <v>0.91229408379835319</v>
      </c>
    </row>
    <row r="113" spans="1:10" ht="26.25" customHeight="1">
      <c r="A113" s="364" t="s">
        <v>99</v>
      </c>
      <c r="B113" s="365">
        <v>1</v>
      </c>
      <c r="C113" s="478">
        <v>6</v>
      </c>
      <c r="D113" s="479">
        <v>261558663</v>
      </c>
      <c r="E113" s="480">
        <f>IF(ISBLANK(D113),"-",D113/$D$103*$D$100*$B$116)</f>
        <v>548.97903186480005</v>
      </c>
      <c r="F113" s="481">
        <f t="shared" si="2"/>
        <v>0.91496505310800014</v>
      </c>
    </row>
    <row r="114" spans="1:10" ht="26.25" customHeight="1">
      <c r="A114" s="364" t="s">
        <v>100</v>
      </c>
      <c r="B114" s="365">
        <v>1</v>
      </c>
      <c r="C114" s="472"/>
      <c r="D114" s="393"/>
      <c r="E114" s="337"/>
      <c r="F114" s="482"/>
    </row>
    <row r="115" spans="1:10" ht="26.25" customHeight="1">
      <c r="A115" s="364" t="s">
        <v>101</v>
      </c>
      <c r="B115" s="365">
        <v>1</v>
      </c>
      <c r="C115" s="472"/>
      <c r="D115" s="483"/>
      <c r="E115" s="484" t="s">
        <v>70</v>
      </c>
      <c r="F115" s="485">
        <f>AVERAGE(F108:F113)</f>
        <v>0.91970647258789195</v>
      </c>
    </row>
    <row r="116" spans="1:10" ht="27" customHeight="1" thickBot="1">
      <c r="A116" s="364" t="s">
        <v>102</v>
      </c>
      <c r="B116" s="376">
        <f>(B115/B114)*(B113/B112)*(B111/B110)*(B109/B108)*B107</f>
        <v>1000</v>
      </c>
      <c r="C116" s="486"/>
      <c r="D116" s="487"/>
      <c r="E116" s="349" t="s">
        <v>83</v>
      </c>
      <c r="F116" s="488">
        <f>STDEV(F108:F113)/F115</f>
        <v>9.671475361234633E-3</v>
      </c>
      <c r="I116" s="337"/>
    </row>
    <row r="117" spans="1:10" ht="27" customHeight="1" thickBot="1">
      <c r="A117" s="552" t="s">
        <v>77</v>
      </c>
      <c r="B117" s="556"/>
      <c r="C117" s="489"/>
      <c r="D117" s="490"/>
      <c r="E117" s="491" t="s">
        <v>19</v>
      </c>
      <c r="F117" s="492">
        <f>COUNT(F108:F113)</f>
        <v>6</v>
      </c>
      <c r="I117" s="337"/>
      <c r="J117" s="466"/>
    </row>
    <row r="118" spans="1:10" ht="19.5" customHeight="1" thickBot="1">
      <c r="A118" s="554"/>
      <c r="B118" s="557"/>
      <c r="C118" s="337"/>
      <c r="D118" s="337"/>
      <c r="E118" s="337"/>
      <c r="F118" s="393"/>
      <c r="G118" s="337"/>
      <c r="H118" s="337"/>
      <c r="I118" s="337"/>
    </row>
    <row r="119" spans="1:10" ht="18.75">
      <c r="A119" s="493"/>
      <c r="B119" s="360"/>
      <c r="C119" s="337"/>
      <c r="D119" s="337"/>
      <c r="E119" s="337"/>
      <c r="F119" s="393"/>
      <c r="G119" s="337"/>
      <c r="H119" s="337"/>
      <c r="I119" s="337"/>
    </row>
    <row r="120" spans="1:10" ht="26.25" customHeight="1">
      <c r="A120" s="348" t="s">
        <v>105</v>
      </c>
      <c r="B120" s="349" t="s">
        <v>122</v>
      </c>
      <c r="C120" s="558" t="str">
        <f>B20</f>
        <v>EFAVIRENZ</v>
      </c>
      <c r="D120" s="558"/>
      <c r="E120" s="337" t="s">
        <v>123</v>
      </c>
      <c r="F120" s="337"/>
      <c r="G120" s="443">
        <f>F115</f>
        <v>0.91970647258789195</v>
      </c>
      <c r="H120" s="337"/>
      <c r="I120" s="337"/>
    </row>
    <row r="121" spans="1:10" ht="19.5" customHeight="1" thickBot="1">
      <c r="A121" s="494"/>
      <c r="B121" s="494"/>
      <c r="C121" s="495"/>
      <c r="D121" s="495"/>
      <c r="E121" s="495"/>
      <c r="F121" s="495"/>
      <c r="G121" s="495"/>
      <c r="H121" s="495"/>
    </row>
    <row r="122" spans="1:10" ht="18.75">
      <c r="B122" s="559" t="s">
        <v>25</v>
      </c>
      <c r="C122" s="559"/>
      <c r="E122" s="446" t="s">
        <v>26</v>
      </c>
      <c r="F122" s="496"/>
      <c r="G122" s="559" t="s">
        <v>27</v>
      </c>
      <c r="H122" s="559"/>
    </row>
    <row r="123" spans="1:10" ht="69.95" customHeight="1">
      <c r="A123" s="348" t="s">
        <v>28</v>
      </c>
      <c r="B123" s="497"/>
      <c r="C123" s="497"/>
      <c r="E123" s="497"/>
      <c r="F123" s="337"/>
      <c r="G123" s="497"/>
      <c r="H123" s="497"/>
    </row>
    <row r="124" spans="1:10" ht="69.95" customHeight="1">
      <c r="A124" s="348" t="s">
        <v>29</v>
      </c>
      <c r="B124" s="498"/>
      <c r="C124" s="498"/>
      <c r="E124" s="498"/>
      <c r="F124" s="337"/>
      <c r="G124" s="499"/>
      <c r="H124" s="499"/>
    </row>
    <row r="125" spans="1:10" ht="18.75">
      <c r="A125" s="393"/>
      <c r="B125" s="393"/>
      <c r="C125" s="393"/>
      <c r="D125" s="393"/>
      <c r="E125" s="393"/>
      <c r="F125" s="395"/>
      <c r="G125" s="393"/>
      <c r="H125" s="393"/>
      <c r="I125" s="337"/>
    </row>
    <row r="126" spans="1:10" ht="18.75">
      <c r="A126" s="393"/>
      <c r="B126" s="393"/>
      <c r="C126" s="393"/>
      <c r="D126" s="393"/>
      <c r="E126" s="393"/>
      <c r="F126" s="395"/>
      <c r="G126" s="393"/>
      <c r="H126" s="393"/>
      <c r="I126" s="337"/>
    </row>
    <row r="127" spans="1:10" ht="18.75">
      <c r="A127" s="393"/>
      <c r="B127" s="393"/>
      <c r="C127" s="393"/>
      <c r="D127" s="393"/>
      <c r="E127" s="393"/>
      <c r="F127" s="395"/>
      <c r="G127" s="393"/>
      <c r="H127" s="393"/>
      <c r="I127" s="337"/>
    </row>
    <row r="128" spans="1:10" ht="18.75">
      <c r="A128" s="393"/>
      <c r="B128" s="393"/>
      <c r="C128" s="393"/>
      <c r="D128" s="393"/>
      <c r="E128" s="393"/>
      <c r="F128" s="395"/>
      <c r="G128" s="393"/>
      <c r="H128" s="393"/>
      <c r="I128" s="337"/>
    </row>
    <row r="129" spans="1:9" ht="18.75">
      <c r="A129" s="393"/>
      <c r="B129" s="393"/>
      <c r="C129" s="393"/>
      <c r="D129" s="393"/>
      <c r="E129" s="393"/>
      <c r="F129" s="395"/>
      <c r="G129" s="393"/>
      <c r="H129" s="393"/>
      <c r="I129" s="337"/>
    </row>
    <row r="130" spans="1:9" ht="18.75">
      <c r="A130" s="393"/>
      <c r="B130" s="393"/>
      <c r="C130" s="393"/>
      <c r="D130" s="393"/>
      <c r="E130" s="393"/>
      <c r="F130" s="395"/>
      <c r="G130" s="393"/>
      <c r="H130" s="393"/>
      <c r="I130" s="337"/>
    </row>
    <row r="131" spans="1:9" ht="18.75">
      <c r="A131" s="393"/>
      <c r="B131" s="393"/>
      <c r="C131" s="393"/>
      <c r="D131" s="393"/>
      <c r="E131" s="393"/>
      <c r="F131" s="395"/>
      <c r="G131" s="393"/>
      <c r="H131" s="393"/>
      <c r="I131" s="337"/>
    </row>
    <row r="132" spans="1:9" ht="18.75">
      <c r="A132" s="393"/>
      <c r="B132" s="393"/>
      <c r="C132" s="393"/>
      <c r="D132" s="393"/>
      <c r="E132" s="393"/>
      <c r="F132" s="395"/>
      <c r="G132" s="393"/>
      <c r="H132" s="393"/>
      <c r="I132" s="337"/>
    </row>
    <row r="133" spans="1:9" ht="18.75">
      <c r="A133" s="393"/>
      <c r="B133" s="393"/>
      <c r="C133" s="393"/>
      <c r="D133" s="393"/>
      <c r="E133" s="393"/>
      <c r="F133" s="395"/>
      <c r="G133" s="393"/>
      <c r="H133" s="393"/>
      <c r="I133" s="337"/>
    </row>
    <row r="250" spans="1:1">
      <c r="A250" s="29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</vt:lpstr>
      <vt:lpstr>Uniformity</vt:lpstr>
      <vt:lpstr>Tenofovir Disoproxil Fumarate</vt:lpstr>
      <vt:lpstr>SST (2)</vt:lpstr>
      <vt:lpstr>Lamivudine</vt:lpstr>
      <vt:lpstr>SST (3)</vt:lpstr>
      <vt:lpstr>Efavirenz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2015-11-16T16:00:38Z</cp:lastPrinted>
  <dcterms:created xsi:type="dcterms:W3CDTF">2005-07-05T10:19:27Z</dcterms:created>
  <dcterms:modified xsi:type="dcterms:W3CDTF">2015-11-16T16:06:53Z</dcterms:modified>
</cp:coreProperties>
</file>