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3"/>
  </bookViews>
  <sheets>
    <sheet name="SST Atazanavir" sheetId="6" r:id="rId1"/>
    <sheet name="SST Ritonavir" sheetId="5" r:id="rId2"/>
    <sheet name="Uniformity" sheetId="2" r:id="rId3"/>
    <sheet name="Ritonavir" sheetId="3" r:id="rId4"/>
    <sheet name="Ataza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2" i="6" l="1"/>
  <c r="G120" i="4" l="1"/>
  <c r="F112" i="4"/>
  <c r="F110" i="4"/>
  <c r="E108" i="4"/>
  <c r="F108" i="4"/>
  <c r="B98" i="4" l="1"/>
  <c r="B116" i="4"/>
  <c r="B87" i="4" l="1"/>
  <c r="B21" i="5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H68" i="3" l="1"/>
  <c r="H64" i="3"/>
  <c r="H60" i="3"/>
  <c r="G60" i="3"/>
  <c r="G76" i="4"/>
  <c r="H68" i="4"/>
  <c r="H64" i="4"/>
  <c r="H60" i="4"/>
  <c r="G60" i="4"/>
  <c r="G38" i="4"/>
  <c r="E38" i="4"/>
  <c r="G38" i="3"/>
  <c r="E38" i="3"/>
  <c r="B34" i="3"/>
  <c r="B30" i="3"/>
  <c r="B45" i="3"/>
  <c r="B69" i="3"/>
  <c r="B68" i="3"/>
  <c r="B45" i="4"/>
  <c r="B30" i="4"/>
  <c r="B34" i="4"/>
  <c r="C120" i="4"/>
  <c r="D100" i="4"/>
  <c r="F95" i="4"/>
  <c r="D95" i="4"/>
  <c r="F97" i="4"/>
  <c r="B81" i="4"/>
  <c r="B83" i="4" s="1"/>
  <c r="B80" i="4"/>
  <c r="B79" i="4"/>
  <c r="C76" i="4"/>
  <c r="B68" i="4"/>
  <c r="B69" i="4" s="1"/>
  <c r="C56" i="4"/>
  <c r="B55" i="4"/>
  <c r="D48" i="4"/>
  <c r="F42" i="4"/>
  <c r="I39" i="4" s="1"/>
  <c r="D42" i="4"/>
  <c r="F44" i="4"/>
  <c r="C120" i="3"/>
  <c r="B116" i="3"/>
  <c r="D100" i="3" s="1"/>
  <c r="B98" i="3"/>
  <c r="F97" i="3"/>
  <c r="D97" i="3"/>
  <c r="F95" i="3"/>
  <c r="D95" i="3"/>
  <c r="I92" i="3" s="1"/>
  <c r="B87" i="3"/>
  <c r="B81" i="3"/>
  <c r="B83" i="3" s="1"/>
  <c r="B80" i="3"/>
  <c r="B79" i="3"/>
  <c r="C76" i="3"/>
  <c r="C56" i="3"/>
  <c r="B55" i="3"/>
  <c r="D48" i="3"/>
  <c r="F42" i="3"/>
  <c r="D42" i="3"/>
  <c r="F44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1" i="3" l="1"/>
  <c r="D102" i="3" s="1"/>
  <c r="I92" i="4"/>
  <c r="D101" i="4"/>
  <c r="I39" i="3"/>
  <c r="D44" i="3"/>
  <c r="D45" i="3" s="1"/>
  <c r="D46" i="3" s="1"/>
  <c r="F98" i="3"/>
  <c r="F99" i="3" s="1"/>
  <c r="F45" i="3"/>
  <c r="F46" i="3" s="1"/>
  <c r="D98" i="3"/>
  <c r="F45" i="4"/>
  <c r="F46" i="4" s="1"/>
  <c r="D49" i="3"/>
  <c r="D99" i="3"/>
  <c r="F98" i="4"/>
  <c r="G91" i="4" s="1"/>
  <c r="D24" i="2"/>
  <c r="D28" i="2"/>
  <c r="D32" i="2"/>
  <c r="D36" i="2"/>
  <c r="D40" i="2"/>
  <c r="D49" i="2"/>
  <c r="B57" i="3"/>
  <c r="D44" i="4"/>
  <c r="D45" i="4" s="1"/>
  <c r="D49" i="4"/>
  <c r="D97" i="4"/>
  <c r="D98" i="4" s="1"/>
  <c r="E91" i="4" s="1"/>
  <c r="C50" i="2"/>
  <c r="G39" i="4"/>
  <c r="D102" i="4" l="1"/>
  <c r="F99" i="4"/>
  <c r="D99" i="4"/>
  <c r="G92" i="4"/>
  <c r="D105" i="3"/>
  <c r="G95" i="3"/>
  <c r="E40" i="3"/>
  <c r="G40" i="3"/>
  <c r="G39" i="3"/>
  <c r="E39" i="3"/>
  <c r="G40" i="4"/>
  <c r="E95" i="3"/>
  <c r="E40" i="4"/>
  <c r="E93" i="4"/>
  <c r="G93" i="4"/>
  <c r="E92" i="4"/>
  <c r="D103" i="3" l="1"/>
  <c r="D52" i="3"/>
  <c r="D50" i="3"/>
  <c r="E42" i="3"/>
  <c r="G42" i="3"/>
  <c r="G42" i="4"/>
  <c r="G95" i="4"/>
  <c r="E39" i="4"/>
  <c r="D46" i="4"/>
  <c r="D103" i="4"/>
  <c r="E95" i="4"/>
  <c r="D105" i="4"/>
  <c r="D104" i="3" l="1"/>
  <c r="E109" i="4"/>
  <c r="F109" i="4" s="1"/>
  <c r="E42" i="4"/>
  <c r="F117" i="3"/>
  <c r="D51" i="3"/>
  <c r="H67" i="3"/>
  <c r="G69" i="3"/>
  <c r="H69" i="3" s="1"/>
  <c r="G64" i="3"/>
  <c r="H63" i="3"/>
  <c r="G65" i="3"/>
  <c r="H65" i="3" s="1"/>
  <c r="G61" i="3"/>
  <c r="H61" i="3" s="1"/>
  <c r="G70" i="3"/>
  <c r="H70" i="3" s="1"/>
  <c r="G66" i="3"/>
  <c r="H66" i="3" s="1"/>
  <c r="G68" i="3"/>
  <c r="G62" i="3"/>
  <c r="H62" i="3" s="1"/>
  <c r="H71" i="3"/>
  <c r="D50" i="4"/>
  <c r="D52" i="4"/>
  <c r="E112" i="4"/>
  <c r="E110" i="4"/>
  <c r="E111" i="4"/>
  <c r="F111" i="4" s="1"/>
  <c r="D104" i="4"/>
  <c r="E113" i="4"/>
  <c r="F113" i="4" s="1"/>
  <c r="F115" i="3" l="1"/>
  <c r="G120" i="3" s="1"/>
  <c r="H74" i="3"/>
  <c r="H72" i="3"/>
  <c r="G76" i="3" s="1"/>
  <c r="G69" i="4"/>
  <c r="H69" i="4" s="1"/>
  <c r="G64" i="4"/>
  <c r="D51" i="4"/>
  <c r="G61" i="4"/>
  <c r="H61" i="4" s="1"/>
  <c r="G68" i="4"/>
  <c r="G65" i="4"/>
  <c r="H65" i="4" s="1"/>
  <c r="G62" i="4"/>
  <c r="H62" i="4" s="1"/>
  <c r="G70" i="4"/>
  <c r="H70" i="4" s="1"/>
  <c r="G66" i="4"/>
  <c r="H66" i="4" s="1"/>
  <c r="F116" i="3"/>
  <c r="F115" i="4"/>
  <c r="F117" i="4"/>
  <c r="H73" i="3" l="1"/>
  <c r="H74" i="4"/>
  <c r="H72" i="4"/>
  <c r="H73" i="4" s="1"/>
  <c r="F116" i="4"/>
</calcChain>
</file>

<file path=xl/sharedStrings.xml><?xml version="1.0" encoding="utf-8"?>
<sst xmlns="http://schemas.openxmlformats.org/spreadsheetml/2006/main" count="437" uniqueCount="131">
  <si>
    <t>HPLC System Suitability Report</t>
  </si>
  <si>
    <t>Analysis Data</t>
  </si>
  <si>
    <t>Assay</t>
  </si>
  <si>
    <t>Sample(s)</t>
  </si>
  <si>
    <t>Reference Substance:</t>
  </si>
  <si>
    <t>ANZAVIR-R</t>
  </si>
  <si>
    <t>% age Purity:</t>
  </si>
  <si>
    <t>NDQD201508146</t>
  </si>
  <si>
    <t>Weight (mg):</t>
  </si>
  <si>
    <t>ATAZANAVIR, RITONAVIR</t>
  </si>
  <si>
    <t>Standard Conc (mg/mL):</t>
  </si>
  <si>
    <t>Each film coated tablet contains:
Atazanavir (as sulfate) equivalent to Atazanavir 300 mg
Ritonavir USP 100 MG</t>
  </si>
  <si>
    <t>2015-08-13 10:58:01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</si>
  <si>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</si>
  <si>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</si>
  <si>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</si>
  <si>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</si>
  <si>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</si>
  <si>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</si>
  <si>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</si>
  <si>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</si>
  <si>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</si>
  <si>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</si>
  <si>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</si>
  <si>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</si>
  <si>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</si>
  <si>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</si>
  <si>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</si>
  <si>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</si>
  <si>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</si>
  <si>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</si>
  <si>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</si>
  <si>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</si>
  <si>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</si>
  <si>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</si>
  <si>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</si>
  <si>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</si>
  <si>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</si>
  <si>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</si>
  <si>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</si>
  <si>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</si>
  <si>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</si>
  <si>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</si>
  <si>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</si>
  <si>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</si>
  <si>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</si>
  <si>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</si>
  <si>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</si>
  <si>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</si>
  <si>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</si>
  <si>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</si>
  <si>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</si>
  <si>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</si>
  <si>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</si>
  <si>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</si>
  <si>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</si>
  <si>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</si>
  <si>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</si>
  <si>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</si>
  <si>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</si>
  <si>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</si>
  <si>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</si>
  <si>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</si>
  <si>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</si>
  <si>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</si>
  <si>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</si>
  <si>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</si>
  <si>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</si>
  <si>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</si>
  <si>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</si>
  <si>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</si>
  <si>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</si>
  <si>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</si>
  <si>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</si>
  <si>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</si>
  <si>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</si>
  <si>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</si>
  <si>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</si>
  <si>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</si>
  <si>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</si>
  <si>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</si>
  <si>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</si>
  <si>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</si>
  <si>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</si>
  <si>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</si>
  <si>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</si>
  <si>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</si>
  <si>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</si>
  <si>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</si>
  <si>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</si>
  <si>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</si>
  <si>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</si>
  <si>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</si>
  <si>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</si>
  <si>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</si>
  <si>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</si>
  <si>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</si>
  <si>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</si>
  <si>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</si>
  <si>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</si>
  <si>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</si>
  <si>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</si>
  <si>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</si>
  <si>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</si>
  <si>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</si>
  <si>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</si>
  <si>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</si>
  <si>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</si>
  <si>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</si>
  <si>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</si>
  <si>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</si>
  <si>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</si>
  <si>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</si>
  <si>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</si>
  <si>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</si>
  <si>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</si>
  <si>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</si>
  <si>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</si>
  <si>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</si>
  <si>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</si>
  <si>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</si>
  <si>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</si>
  <si>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</si>
  <si>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</si>
  <si>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</si>
  <si>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A48-1</t>
  </si>
  <si>
    <t>R9-1</t>
  </si>
  <si>
    <t>Aluvia Tablets</t>
  </si>
  <si>
    <t>Ritonavir</t>
  </si>
  <si>
    <t>ATAZANAVIR</t>
  </si>
  <si>
    <t>Anzavir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</si>
</sst>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25" fillId="2" borderId="0" xfId="0" applyNumberFormat="1" applyFont="1" applyFill="1" applyAlignment="1">
      <alignment horizontal="center"/>
    </xf>
    <xf numFmtId="0" fontId="26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41" sqref="B41:E50"/>
    </sheetView>
  </sheetViews>
  <sheetFormatPr defaultRowHeight="13.5" x14ac:dyDescent="0.25"/>
  <cols>
    <col min="1" max="1" width="27.5703125" style="419" customWidth="1"/>
    <col min="2" max="2" width="20.42578125" style="419" customWidth="1"/>
    <col min="3" max="3" width="31.85546875" style="419" customWidth="1"/>
    <col min="4" max="4" width="25.85546875" style="419" customWidth="1"/>
    <col min="5" max="5" width="25.7109375" style="419" customWidth="1"/>
    <col min="6" max="6" width="23.140625" style="419" customWidth="1"/>
    <col min="7" max="7" width="28.42578125" style="419" customWidth="1"/>
    <col min="8" max="8" width="21.5703125" style="419" customWidth="1"/>
    <col min="9" max="9" width="9.140625" style="419" customWidth="1"/>
    <col min="10" max="16384" width="9.140625" style="456"/>
  </cols>
  <sheetData>
    <row r="14" spans="1:6" ht="15" customHeight="1" x14ac:dyDescent="0.3">
      <c r="A14" s="418"/>
      <c r="C14" s="420"/>
      <c r="F14" s="420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21" t="s">
        <v>1</v>
      </c>
      <c r="B16" s="422" t="s">
        <v>2</v>
      </c>
    </row>
    <row r="17" spans="1:5" ht="16.5" customHeight="1" x14ac:dyDescent="0.3">
      <c r="A17" s="423" t="s">
        <v>3</v>
      </c>
      <c r="B17" s="464" t="s">
        <v>130</v>
      </c>
      <c r="D17" s="424"/>
      <c r="E17" s="425"/>
    </row>
    <row r="18" spans="1:5" ht="16.5" customHeight="1" x14ac:dyDescent="0.3">
      <c r="A18" s="426" t="s">
        <v>4</v>
      </c>
      <c r="B18" s="463" t="s">
        <v>129</v>
      </c>
      <c r="C18" s="425"/>
      <c r="D18" s="425"/>
      <c r="E18" s="425"/>
    </row>
    <row r="19" spans="1:5" ht="16.5" customHeight="1" x14ac:dyDescent="0.3">
      <c r="A19" s="426" t="s">
        <v>6</v>
      </c>
      <c r="B19" s="427">
        <v>87.6</v>
      </c>
      <c r="C19" s="425"/>
      <c r="D19" s="425"/>
      <c r="E19" s="425"/>
    </row>
    <row r="20" spans="1:5" ht="16.5" customHeight="1" x14ac:dyDescent="0.3">
      <c r="A20" s="423" t="s">
        <v>8</v>
      </c>
      <c r="B20" s="428">
        <v>24.02</v>
      </c>
      <c r="C20" s="425"/>
      <c r="D20" s="425"/>
      <c r="E20" s="425"/>
    </row>
    <row r="21" spans="1:5" ht="16.5" customHeight="1" x14ac:dyDescent="0.3">
      <c r="A21" s="423" t="s">
        <v>10</v>
      </c>
      <c r="B21" s="427">
        <f>25/50</f>
        <v>0.5</v>
      </c>
      <c r="C21" s="425"/>
      <c r="D21" s="425"/>
      <c r="E21" s="425"/>
    </row>
    <row r="22" spans="1:5" ht="15.75" customHeight="1" x14ac:dyDescent="0.25">
      <c r="A22" s="425"/>
      <c r="B22" s="425"/>
      <c r="C22" s="425"/>
      <c r="D22" s="425"/>
      <c r="E22" s="425"/>
    </row>
    <row r="23" spans="1:5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</row>
    <row r="24" spans="1:5" ht="16.5" customHeight="1" x14ac:dyDescent="0.3">
      <c r="A24" s="431">
        <v>1</v>
      </c>
      <c r="B24" s="432">
        <v>87395396</v>
      </c>
      <c r="C24" s="432">
        <v>7373</v>
      </c>
      <c r="D24" s="433">
        <v>0.95</v>
      </c>
      <c r="E24" s="434">
        <v>8.2100000000000009</v>
      </c>
    </row>
    <row r="25" spans="1:5" ht="16.5" customHeight="1" x14ac:dyDescent="0.3">
      <c r="A25" s="431">
        <v>2</v>
      </c>
      <c r="B25" s="432">
        <v>87433688</v>
      </c>
      <c r="C25" s="432">
        <v>7501</v>
      </c>
      <c r="D25" s="433">
        <v>0.95</v>
      </c>
      <c r="E25" s="433">
        <v>8.19</v>
      </c>
    </row>
    <row r="26" spans="1:5" ht="16.5" customHeight="1" x14ac:dyDescent="0.3">
      <c r="A26" s="431">
        <v>3</v>
      </c>
      <c r="B26" s="432">
        <v>87569974</v>
      </c>
      <c r="C26" s="432">
        <v>7926</v>
      </c>
      <c r="D26" s="433">
        <v>0.97</v>
      </c>
      <c r="E26" s="433">
        <v>8.19</v>
      </c>
    </row>
    <row r="27" spans="1:5" ht="16.5" customHeight="1" x14ac:dyDescent="0.3">
      <c r="A27" s="431">
        <v>4</v>
      </c>
      <c r="B27" s="432">
        <v>87636107</v>
      </c>
      <c r="C27" s="432">
        <v>8079</v>
      </c>
      <c r="D27" s="433">
        <v>0.97</v>
      </c>
      <c r="E27" s="433">
        <v>8.1999999999999993</v>
      </c>
    </row>
    <row r="28" spans="1:5" ht="16.5" customHeight="1" x14ac:dyDescent="0.3">
      <c r="A28" s="431">
        <v>5</v>
      </c>
      <c r="B28" s="432">
        <v>87661009</v>
      </c>
      <c r="C28" s="432">
        <v>8272</v>
      </c>
      <c r="D28" s="433">
        <v>0.98</v>
      </c>
      <c r="E28" s="433">
        <v>8.19</v>
      </c>
    </row>
    <row r="29" spans="1:5" ht="16.5" customHeight="1" x14ac:dyDescent="0.3">
      <c r="A29" s="431">
        <v>6</v>
      </c>
      <c r="B29" s="435">
        <v>87637460</v>
      </c>
      <c r="C29" s="435">
        <v>8428</v>
      </c>
      <c r="D29" s="436">
        <v>0.98</v>
      </c>
      <c r="E29" s="436">
        <v>8.1999999999999993</v>
      </c>
    </row>
    <row r="30" spans="1:5" ht="16.5" customHeight="1" x14ac:dyDescent="0.3">
      <c r="A30" s="437" t="s">
        <v>18</v>
      </c>
      <c r="B30" s="438">
        <f>AVERAGE(B24:B29)</f>
        <v>87555605.666666672</v>
      </c>
      <c r="C30" s="439">
        <f>AVERAGE(C24:C29)</f>
        <v>7929.833333333333</v>
      </c>
      <c r="D30" s="440">
        <f>AVERAGE(D24:D29)</f>
        <v>0.96666666666666679</v>
      </c>
      <c r="E30" s="440">
        <f>AVERAGE(E24:E29)</f>
        <v>8.1966666666666654</v>
      </c>
    </row>
    <row r="31" spans="1:5" ht="16.5" customHeight="1" x14ac:dyDescent="0.3">
      <c r="A31" s="441" t="s">
        <v>19</v>
      </c>
      <c r="B31" s="442">
        <f>(STDEV(B24:B29)/B30)</f>
        <v>1.3025101494583838E-3</v>
      </c>
      <c r="C31" s="443"/>
      <c r="D31" s="443"/>
      <c r="E31" s="444"/>
    </row>
    <row r="32" spans="1:5" s="419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</row>
    <row r="33" spans="1:5" s="419" customFormat="1" ht="15.75" customHeight="1" x14ac:dyDescent="0.25">
      <c r="A33" s="425"/>
      <c r="B33" s="425"/>
      <c r="C33" s="425"/>
      <c r="D33" s="425"/>
      <c r="E33" s="425"/>
    </row>
    <row r="34" spans="1:5" s="419" customFormat="1" ht="16.5" customHeight="1" x14ac:dyDescent="0.3">
      <c r="A34" s="426" t="s">
        <v>21</v>
      </c>
      <c r="B34" s="450" t="s">
        <v>22</v>
      </c>
      <c r="C34" s="451"/>
      <c r="D34" s="451"/>
      <c r="E34" s="451"/>
    </row>
    <row r="35" spans="1:5" ht="16.5" customHeight="1" x14ac:dyDescent="0.3">
      <c r="A35" s="426"/>
      <c r="B35" s="450" t="s">
        <v>23</v>
      </c>
      <c r="C35" s="451"/>
      <c r="D35" s="451"/>
      <c r="E35" s="451"/>
    </row>
    <row r="36" spans="1:5" ht="16.5" customHeight="1" x14ac:dyDescent="0.3">
      <c r="A36" s="426"/>
      <c r="B36" s="450" t="s">
        <v>24</v>
      </c>
      <c r="C36" s="451"/>
      <c r="D36" s="451"/>
      <c r="E36" s="451"/>
    </row>
    <row r="37" spans="1:5" ht="15.75" customHeight="1" x14ac:dyDescent="0.25">
      <c r="A37" s="425"/>
      <c r="B37" s="425"/>
      <c r="C37" s="425"/>
      <c r="D37" s="425"/>
      <c r="E37" s="425"/>
    </row>
    <row r="38" spans="1:5" ht="16.5" customHeight="1" x14ac:dyDescent="0.3">
      <c r="A38" s="421" t="s">
        <v>1</v>
      </c>
      <c r="B38" s="422" t="s">
        <v>25</v>
      </c>
    </row>
    <row r="39" spans="1:5" ht="16.5" customHeight="1" x14ac:dyDescent="0.3">
      <c r="A39" s="426" t="s">
        <v>4</v>
      </c>
      <c r="B39" s="463" t="s">
        <v>129</v>
      </c>
      <c r="C39" s="425"/>
      <c r="D39" s="425"/>
      <c r="E39" s="425"/>
    </row>
    <row r="40" spans="1:5" ht="16.5" customHeight="1" x14ac:dyDescent="0.3">
      <c r="A40" s="426" t="s">
        <v>6</v>
      </c>
      <c r="B40" s="427">
        <v>87.6</v>
      </c>
      <c r="C40" s="425"/>
      <c r="D40" s="425"/>
      <c r="E40" s="425"/>
    </row>
    <row r="41" spans="1:5" ht="16.5" customHeight="1" x14ac:dyDescent="0.3">
      <c r="A41" s="423" t="s">
        <v>8</v>
      </c>
      <c r="B41" s="428">
        <v>13.66</v>
      </c>
      <c r="C41" s="425"/>
      <c r="D41" s="425"/>
      <c r="E41" s="425"/>
    </row>
    <row r="42" spans="1:5" ht="16.5" customHeight="1" x14ac:dyDescent="0.3">
      <c r="A42" s="423" t="s">
        <v>10</v>
      </c>
      <c r="B42" s="427">
        <f>15/50</f>
        <v>0.3</v>
      </c>
      <c r="C42" s="425"/>
      <c r="D42" s="425"/>
      <c r="E42" s="425"/>
    </row>
    <row r="43" spans="1:5" ht="15.75" customHeight="1" x14ac:dyDescent="0.25">
      <c r="A43" s="425"/>
      <c r="B43" s="425"/>
      <c r="C43" s="425"/>
      <c r="D43" s="425"/>
      <c r="E43" s="425"/>
    </row>
    <row r="44" spans="1:5" ht="16.5" customHeight="1" x14ac:dyDescent="0.3">
      <c r="A44" s="429" t="s">
        <v>13</v>
      </c>
      <c r="B44" s="430" t="s">
        <v>14</v>
      </c>
      <c r="C44" s="429" t="s">
        <v>15</v>
      </c>
      <c r="D44" s="429" t="s">
        <v>16</v>
      </c>
      <c r="E44" s="429" t="s">
        <v>17</v>
      </c>
    </row>
    <row r="45" spans="1:5" ht="16.5" customHeight="1" x14ac:dyDescent="0.3">
      <c r="A45" s="431">
        <v>1</v>
      </c>
      <c r="B45" s="432">
        <v>71197215</v>
      </c>
      <c r="C45" s="432">
        <v>8971</v>
      </c>
      <c r="D45" s="433">
        <v>1.0900000000000001</v>
      </c>
      <c r="E45" s="434">
        <v>6.63</v>
      </c>
    </row>
    <row r="46" spans="1:5" ht="16.5" customHeight="1" x14ac:dyDescent="0.3">
      <c r="A46" s="431">
        <v>2</v>
      </c>
      <c r="B46" s="432">
        <v>71547801</v>
      </c>
      <c r="C46" s="432">
        <v>8971</v>
      </c>
      <c r="D46" s="433">
        <v>1.08</v>
      </c>
      <c r="E46" s="433">
        <v>6.63</v>
      </c>
    </row>
    <row r="47" spans="1:5" ht="16.5" customHeight="1" x14ac:dyDescent="0.3">
      <c r="A47" s="431">
        <v>3</v>
      </c>
      <c r="B47" s="432">
        <v>71225285</v>
      </c>
      <c r="C47" s="432">
        <v>8956</v>
      </c>
      <c r="D47" s="433">
        <v>1.07</v>
      </c>
      <c r="E47" s="433">
        <v>6.63</v>
      </c>
    </row>
    <row r="48" spans="1:5" ht="16.5" customHeight="1" x14ac:dyDescent="0.3">
      <c r="A48" s="431">
        <v>4</v>
      </c>
      <c r="B48" s="432">
        <v>71393329</v>
      </c>
      <c r="C48" s="432">
        <v>8956</v>
      </c>
      <c r="D48" s="433">
        <v>1.07</v>
      </c>
      <c r="E48" s="433">
        <v>6.63</v>
      </c>
    </row>
    <row r="49" spans="1:7" ht="16.5" customHeight="1" x14ac:dyDescent="0.3">
      <c r="A49" s="431">
        <v>5</v>
      </c>
      <c r="B49" s="432">
        <v>71190908</v>
      </c>
      <c r="C49" s="432">
        <v>8903</v>
      </c>
      <c r="D49" s="433">
        <v>1.0900000000000001</v>
      </c>
      <c r="E49" s="433">
        <v>6.62</v>
      </c>
    </row>
    <row r="50" spans="1:7" ht="16.5" customHeight="1" x14ac:dyDescent="0.3">
      <c r="A50" s="431">
        <v>6</v>
      </c>
      <c r="B50" s="435">
        <v>71150761</v>
      </c>
      <c r="C50" s="435">
        <v>8935</v>
      </c>
      <c r="D50" s="436">
        <v>1.0900000000000001</v>
      </c>
      <c r="E50" s="436">
        <v>6.62</v>
      </c>
    </row>
    <row r="51" spans="1:7" ht="16.5" customHeight="1" x14ac:dyDescent="0.3">
      <c r="A51" s="437" t="s">
        <v>18</v>
      </c>
      <c r="B51" s="438">
        <f>AVERAGE(B45:B50)</f>
        <v>71284216.5</v>
      </c>
      <c r="C51" s="439">
        <f>AVERAGE(C45:C50)</f>
        <v>8948.6666666666661</v>
      </c>
      <c r="D51" s="440">
        <f>AVERAGE(D45:D50)</f>
        <v>1.0816666666666668</v>
      </c>
      <c r="E51" s="440">
        <f>AVERAGE(E45:E50)</f>
        <v>6.626666666666666</v>
      </c>
    </row>
    <row r="52" spans="1:7" ht="16.5" customHeight="1" x14ac:dyDescent="0.3">
      <c r="A52" s="441" t="s">
        <v>19</v>
      </c>
      <c r="B52" s="442">
        <f>(STDEV(B45:B50)/B51)</f>
        <v>2.1636552325809428E-3</v>
      </c>
      <c r="C52" s="443"/>
      <c r="D52" s="443"/>
      <c r="E52" s="444"/>
    </row>
    <row r="53" spans="1:7" s="419" customFormat="1" ht="16.5" customHeight="1" x14ac:dyDescent="0.3">
      <c r="A53" s="445" t="s">
        <v>20</v>
      </c>
      <c r="B53" s="446">
        <f>COUNT(B45:B50)</f>
        <v>6</v>
      </c>
      <c r="C53" s="447"/>
      <c r="D53" s="448"/>
      <c r="E53" s="449"/>
    </row>
    <row r="54" spans="1:7" s="419" customFormat="1" ht="15.75" customHeight="1" x14ac:dyDescent="0.25">
      <c r="A54" s="425"/>
      <c r="B54" s="425"/>
      <c r="C54" s="425"/>
      <c r="D54" s="425"/>
      <c r="E54" s="425"/>
    </row>
    <row r="55" spans="1:7" s="419" customFormat="1" ht="16.5" customHeight="1" x14ac:dyDescent="0.3">
      <c r="A55" s="426" t="s">
        <v>21</v>
      </c>
      <c r="B55" s="450" t="s">
        <v>22</v>
      </c>
      <c r="C55" s="451"/>
      <c r="D55" s="451"/>
      <c r="E55" s="451"/>
    </row>
    <row r="56" spans="1:7" ht="16.5" customHeight="1" x14ac:dyDescent="0.3">
      <c r="A56" s="426"/>
      <c r="B56" s="450" t="s">
        <v>23</v>
      </c>
      <c r="C56" s="451"/>
      <c r="D56" s="451"/>
      <c r="E56" s="451"/>
    </row>
    <row r="57" spans="1:7" ht="16.5" customHeight="1" x14ac:dyDescent="0.3">
      <c r="A57" s="426"/>
      <c r="B57" s="450" t="s">
        <v>24</v>
      </c>
      <c r="C57" s="451"/>
      <c r="D57" s="451"/>
      <c r="E57" s="451"/>
    </row>
    <row r="58" spans="1:7" ht="14.25" customHeight="1" thickBot="1" x14ac:dyDescent="0.3">
      <c r="A58" s="453"/>
      <c r="B58" s="454"/>
      <c r="D58" s="455"/>
      <c r="F58" s="456"/>
      <c r="G58" s="456"/>
    </row>
    <row r="59" spans="1:7" ht="15" customHeight="1" x14ac:dyDescent="0.3">
      <c r="B59" s="466" t="s">
        <v>26</v>
      </c>
      <c r="C59" s="466"/>
      <c r="E59" s="457" t="s">
        <v>27</v>
      </c>
      <c r="F59" s="458"/>
      <c r="G59" s="457" t="s">
        <v>28</v>
      </c>
    </row>
    <row r="60" spans="1:7" ht="15" customHeight="1" x14ac:dyDescent="0.3">
      <c r="A60" s="459" t="s">
        <v>29</v>
      </c>
      <c r="B60" s="460"/>
      <c r="C60" s="460"/>
      <c r="E60" s="460"/>
      <c r="G60" s="460"/>
    </row>
    <row r="61" spans="1:7" ht="15" customHeight="1" x14ac:dyDescent="0.3">
      <c r="A61" s="459" t="s">
        <v>30</v>
      </c>
      <c r="B61" s="461"/>
      <c r="C61" s="461"/>
      <c r="E61" s="461"/>
      <c r="G61" s="46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0" sqref="B30"/>
    </sheetView>
  </sheetViews>
  <sheetFormatPr defaultRowHeight="13.5" x14ac:dyDescent="0.25"/>
  <cols>
    <col min="1" max="1" width="27.5703125" style="419" customWidth="1"/>
    <col min="2" max="2" width="20.42578125" style="419" customWidth="1"/>
    <col min="3" max="3" width="31.85546875" style="419" customWidth="1"/>
    <col min="4" max="4" width="25.85546875" style="419" customWidth="1"/>
    <col min="5" max="5" width="25.7109375" style="419" customWidth="1"/>
    <col min="6" max="6" width="23.140625" style="419" customWidth="1"/>
    <col min="7" max="7" width="28.42578125" style="419" customWidth="1"/>
    <col min="8" max="8" width="21.5703125" style="419" customWidth="1"/>
    <col min="9" max="9" width="9.140625" style="419" customWidth="1"/>
    <col min="10" max="16384" width="9.140625" style="456"/>
  </cols>
  <sheetData>
    <row r="14" spans="1:6" ht="15" customHeight="1" x14ac:dyDescent="0.3">
      <c r="A14" s="418"/>
      <c r="C14" s="420"/>
      <c r="F14" s="420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21" t="s">
        <v>1</v>
      </c>
      <c r="B16" s="422" t="s">
        <v>2</v>
      </c>
    </row>
    <row r="17" spans="1:5" ht="16.5" customHeight="1" x14ac:dyDescent="0.3">
      <c r="A17" s="423" t="s">
        <v>3</v>
      </c>
      <c r="B17" s="423" t="s">
        <v>127</v>
      </c>
      <c r="D17" s="424"/>
      <c r="E17" s="425"/>
    </row>
    <row r="18" spans="1:5" ht="16.5" customHeight="1" x14ac:dyDescent="0.3">
      <c r="A18" s="426" t="s">
        <v>4</v>
      </c>
      <c r="B18" s="427" t="s">
        <v>128</v>
      </c>
      <c r="C18" s="425"/>
      <c r="D18" s="425"/>
      <c r="E18" s="425"/>
    </row>
    <row r="19" spans="1:5" ht="16.5" customHeight="1" x14ac:dyDescent="0.3">
      <c r="A19" s="426" t="s">
        <v>6</v>
      </c>
      <c r="B19" s="428">
        <v>99.3</v>
      </c>
      <c r="C19" s="425"/>
      <c r="D19" s="425"/>
      <c r="E19" s="425"/>
    </row>
    <row r="20" spans="1:5" ht="16.5" customHeight="1" x14ac:dyDescent="0.3">
      <c r="A20" s="423" t="s">
        <v>8</v>
      </c>
      <c r="B20" s="428">
        <v>19.61</v>
      </c>
      <c r="C20" s="425"/>
      <c r="D20" s="425"/>
      <c r="E20" s="425"/>
    </row>
    <row r="21" spans="1:5" ht="16.5" customHeight="1" x14ac:dyDescent="0.3">
      <c r="A21" s="423" t="s">
        <v>10</v>
      </c>
      <c r="B21" s="427">
        <f>20/25*10/50</f>
        <v>0.16</v>
      </c>
      <c r="C21" s="425"/>
      <c r="D21" s="425"/>
      <c r="E21" s="425"/>
    </row>
    <row r="22" spans="1:5" ht="15.75" customHeight="1" x14ac:dyDescent="0.25">
      <c r="A22" s="425"/>
      <c r="B22" s="425"/>
      <c r="C22" s="425"/>
      <c r="D22" s="425"/>
      <c r="E22" s="425"/>
    </row>
    <row r="23" spans="1:5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</row>
    <row r="24" spans="1:5" ht="16.5" customHeight="1" x14ac:dyDescent="0.3">
      <c r="A24" s="431">
        <v>1</v>
      </c>
      <c r="B24" s="432">
        <v>24847654</v>
      </c>
      <c r="C24" s="432">
        <v>7718</v>
      </c>
      <c r="D24" s="433">
        <v>0.87</v>
      </c>
      <c r="E24" s="434">
        <v>11.08</v>
      </c>
    </row>
    <row r="25" spans="1:5" ht="16.5" customHeight="1" x14ac:dyDescent="0.3">
      <c r="A25" s="431">
        <v>2</v>
      </c>
      <c r="B25" s="432">
        <v>24830960</v>
      </c>
      <c r="C25" s="432">
        <v>7868</v>
      </c>
      <c r="D25" s="433">
        <v>0.89</v>
      </c>
      <c r="E25" s="433">
        <v>11.06</v>
      </c>
    </row>
    <row r="26" spans="1:5" ht="16.5" customHeight="1" x14ac:dyDescent="0.3">
      <c r="A26" s="431">
        <v>3</v>
      </c>
      <c r="B26" s="432">
        <v>24890543</v>
      </c>
      <c r="C26" s="432">
        <v>8551</v>
      </c>
      <c r="D26" s="433">
        <v>0.91</v>
      </c>
      <c r="E26" s="433">
        <v>11.07</v>
      </c>
    </row>
    <row r="27" spans="1:5" ht="16.5" customHeight="1" x14ac:dyDescent="0.3">
      <c r="A27" s="431">
        <v>4</v>
      </c>
      <c r="B27" s="432">
        <v>24862977</v>
      </c>
      <c r="C27" s="432">
        <v>8852</v>
      </c>
      <c r="D27" s="433">
        <v>0.92</v>
      </c>
      <c r="E27" s="433">
        <v>11.07</v>
      </c>
    </row>
    <row r="28" spans="1:5" ht="16.5" customHeight="1" x14ac:dyDescent="0.3">
      <c r="A28" s="431">
        <v>5</v>
      </c>
      <c r="B28" s="432">
        <v>24844128</v>
      </c>
      <c r="C28" s="432">
        <v>9274</v>
      </c>
      <c r="D28" s="433">
        <v>0.93</v>
      </c>
      <c r="E28" s="433">
        <v>11.07</v>
      </c>
    </row>
    <row r="29" spans="1:5" ht="16.5" customHeight="1" x14ac:dyDescent="0.3">
      <c r="A29" s="431">
        <v>6</v>
      </c>
      <c r="B29" s="435">
        <v>24864642</v>
      </c>
      <c r="C29" s="435">
        <v>9544</v>
      </c>
      <c r="D29" s="436">
        <v>0.94</v>
      </c>
      <c r="E29" s="436">
        <v>11.08</v>
      </c>
    </row>
    <row r="30" spans="1:5" ht="16.5" customHeight="1" x14ac:dyDescent="0.3">
      <c r="A30" s="437" t="s">
        <v>18</v>
      </c>
      <c r="B30" s="438">
        <f>AVERAGE(B24:B29)</f>
        <v>24856817.333333332</v>
      </c>
      <c r="C30" s="439">
        <f>AVERAGE(C24:C29)</f>
        <v>8634.5</v>
      </c>
      <c r="D30" s="440">
        <f>AVERAGE(D24:D29)</f>
        <v>0.90999999999999981</v>
      </c>
      <c r="E30" s="440">
        <f>AVERAGE(E24:E29)</f>
        <v>11.071666666666667</v>
      </c>
    </row>
    <row r="31" spans="1:5" ht="16.5" customHeight="1" x14ac:dyDescent="0.3">
      <c r="A31" s="441" t="s">
        <v>19</v>
      </c>
      <c r="B31" s="442">
        <f>(STDEV(B24:B29)/B30)</f>
        <v>8.3426953550323583E-4</v>
      </c>
      <c r="C31" s="443"/>
      <c r="D31" s="443"/>
      <c r="E31" s="444"/>
    </row>
    <row r="32" spans="1:5" s="419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</row>
    <row r="33" spans="1:5" s="419" customFormat="1" ht="15.75" customHeight="1" x14ac:dyDescent="0.25">
      <c r="A33" s="425"/>
      <c r="B33" s="425"/>
      <c r="C33" s="425"/>
      <c r="D33" s="425"/>
      <c r="E33" s="425"/>
    </row>
    <row r="34" spans="1:5" s="419" customFormat="1" ht="16.5" customHeight="1" x14ac:dyDescent="0.3">
      <c r="A34" s="426" t="s">
        <v>21</v>
      </c>
      <c r="B34" s="450" t="s">
        <v>22</v>
      </c>
      <c r="C34" s="451"/>
      <c r="D34" s="451"/>
      <c r="E34" s="451"/>
    </row>
    <row r="35" spans="1:5" ht="16.5" customHeight="1" x14ac:dyDescent="0.3">
      <c r="A35" s="426"/>
      <c r="B35" s="450" t="s">
        <v>23</v>
      </c>
      <c r="C35" s="451"/>
      <c r="D35" s="451"/>
      <c r="E35" s="451"/>
    </row>
    <row r="36" spans="1:5" ht="16.5" customHeight="1" x14ac:dyDescent="0.3">
      <c r="A36" s="426"/>
      <c r="B36" s="450" t="s">
        <v>24</v>
      </c>
      <c r="C36" s="451"/>
      <c r="D36" s="451"/>
      <c r="E36" s="451"/>
    </row>
    <row r="37" spans="1:5" ht="15.75" customHeight="1" x14ac:dyDescent="0.25">
      <c r="A37" s="425"/>
      <c r="B37" s="425"/>
      <c r="C37" s="425"/>
      <c r="D37" s="425"/>
      <c r="E37" s="425"/>
    </row>
    <row r="38" spans="1:5" ht="16.5" customHeight="1" x14ac:dyDescent="0.3">
      <c r="A38" s="421" t="s">
        <v>1</v>
      </c>
      <c r="B38" s="422" t="s">
        <v>25</v>
      </c>
    </row>
    <row r="39" spans="1:5" ht="16.5" customHeight="1" x14ac:dyDescent="0.3">
      <c r="A39" s="426" t="s">
        <v>4</v>
      </c>
      <c r="B39" s="423"/>
      <c r="C39" s="425"/>
      <c r="D39" s="425"/>
      <c r="E39" s="425"/>
    </row>
    <row r="40" spans="1:5" ht="16.5" customHeight="1" x14ac:dyDescent="0.3">
      <c r="A40" s="426" t="s">
        <v>6</v>
      </c>
      <c r="B40" s="427"/>
      <c r="C40" s="425"/>
      <c r="D40" s="425"/>
      <c r="E40" s="425"/>
    </row>
    <row r="41" spans="1:5" ht="16.5" customHeight="1" x14ac:dyDescent="0.3">
      <c r="A41" s="423" t="s">
        <v>8</v>
      </c>
      <c r="B41" s="427"/>
      <c r="C41" s="425"/>
      <c r="D41" s="425"/>
      <c r="E41" s="425"/>
    </row>
    <row r="42" spans="1:5" ht="16.5" customHeight="1" x14ac:dyDescent="0.3">
      <c r="A42" s="423" t="s">
        <v>10</v>
      </c>
      <c r="B42" s="452"/>
      <c r="C42" s="425"/>
      <c r="D42" s="425"/>
      <c r="E42" s="425"/>
    </row>
    <row r="43" spans="1:5" ht="15.75" customHeight="1" x14ac:dyDescent="0.25">
      <c r="A43" s="425"/>
      <c r="B43" s="425"/>
      <c r="C43" s="425"/>
      <c r="D43" s="425"/>
      <c r="E43" s="425"/>
    </row>
    <row r="44" spans="1:5" ht="16.5" customHeight="1" x14ac:dyDescent="0.3">
      <c r="A44" s="429" t="s">
        <v>13</v>
      </c>
      <c r="B44" s="430" t="s">
        <v>14</v>
      </c>
      <c r="C44" s="429" t="s">
        <v>15</v>
      </c>
      <c r="D44" s="429" t="s">
        <v>16</v>
      </c>
      <c r="E44" s="429" t="s">
        <v>17</v>
      </c>
    </row>
    <row r="45" spans="1:5" ht="16.5" customHeight="1" x14ac:dyDescent="0.3">
      <c r="A45" s="431">
        <v>1</v>
      </c>
      <c r="B45" s="432"/>
      <c r="C45" s="432"/>
      <c r="D45" s="433"/>
      <c r="E45" s="434"/>
    </row>
    <row r="46" spans="1:5" ht="16.5" customHeight="1" x14ac:dyDescent="0.3">
      <c r="A46" s="431">
        <v>2</v>
      </c>
      <c r="B46" s="432"/>
      <c r="C46" s="432"/>
      <c r="D46" s="433"/>
      <c r="E46" s="433"/>
    </row>
    <row r="47" spans="1:5" ht="16.5" customHeight="1" x14ac:dyDescent="0.3">
      <c r="A47" s="431">
        <v>3</v>
      </c>
      <c r="B47" s="432"/>
      <c r="C47" s="432"/>
      <c r="D47" s="433"/>
      <c r="E47" s="433"/>
    </row>
    <row r="48" spans="1:5" ht="16.5" customHeight="1" x14ac:dyDescent="0.3">
      <c r="A48" s="431">
        <v>4</v>
      </c>
      <c r="B48" s="432"/>
      <c r="C48" s="432"/>
      <c r="D48" s="433"/>
      <c r="E48" s="433"/>
    </row>
    <row r="49" spans="1:7" ht="16.5" customHeight="1" x14ac:dyDescent="0.3">
      <c r="A49" s="431">
        <v>5</v>
      </c>
      <c r="B49" s="432"/>
      <c r="C49" s="432"/>
      <c r="D49" s="433"/>
      <c r="E49" s="433"/>
    </row>
    <row r="50" spans="1:7" ht="16.5" customHeight="1" x14ac:dyDescent="0.3">
      <c r="A50" s="431">
        <v>6</v>
      </c>
      <c r="B50" s="435"/>
      <c r="C50" s="435"/>
      <c r="D50" s="436"/>
      <c r="E50" s="436"/>
    </row>
    <row r="51" spans="1:7" ht="16.5" customHeight="1" x14ac:dyDescent="0.3">
      <c r="A51" s="437" t="s">
        <v>18</v>
      </c>
      <c r="B51" s="438" t="e">
        <f>AVERAGE(B45:B50)</f>
        <v>#DIV/0!</v>
      </c>
      <c r="C51" s="439" t="e">
        <f>AVERAGE(C45:C50)</f>
        <v>#DIV/0!</v>
      </c>
      <c r="D51" s="440" t="e">
        <f>AVERAGE(D45:D50)</f>
        <v>#DIV/0!</v>
      </c>
      <c r="E51" s="440" t="e">
        <f>AVERAGE(E45:E50)</f>
        <v>#DIV/0!</v>
      </c>
    </row>
    <row r="52" spans="1:7" ht="16.5" customHeight="1" x14ac:dyDescent="0.3">
      <c r="A52" s="441" t="s">
        <v>19</v>
      </c>
      <c r="B52" s="442" t="e">
        <f>(STDEV(B45:B50)/B51)</f>
        <v>#DIV/0!</v>
      </c>
      <c r="C52" s="443"/>
      <c r="D52" s="443"/>
      <c r="E52" s="444"/>
    </row>
    <row r="53" spans="1:7" s="419" customFormat="1" ht="16.5" customHeight="1" x14ac:dyDescent="0.3">
      <c r="A53" s="445" t="s">
        <v>20</v>
      </c>
      <c r="B53" s="446">
        <f>COUNT(B45:B50)</f>
        <v>0</v>
      </c>
      <c r="C53" s="447"/>
      <c r="D53" s="448"/>
      <c r="E53" s="449"/>
    </row>
    <row r="54" spans="1:7" s="419" customFormat="1" ht="15.75" customHeight="1" x14ac:dyDescent="0.25">
      <c r="A54" s="425"/>
      <c r="B54" s="425"/>
      <c r="C54" s="425"/>
      <c r="D54" s="425"/>
      <c r="E54" s="425"/>
    </row>
    <row r="55" spans="1:7" s="419" customFormat="1" ht="16.5" customHeight="1" x14ac:dyDescent="0.3">
      <c r="A55" s="426" t="s">
        <v>21</v>
      </c>
      <c r="B55" s="450" t="s">
        <v>22</v>
      </c>
      <c r="C55" s="451"/>
      <c r="D55" s="451"/>
      <c r="E55" s="451"/>
    </row>
    <row r="56" spans="1:7" ht="16.5" customHeight="1" x14ac:dyDescent="0.3">
      <c r="A56" s="426"/>
      <c r="B56" s="450" t="s">
        <v>23</v>
      </c>
      <c r="C56" s="451"/>
      <c r="D56" s="451"/>
      <c r="E56" s="451"/>
    </row>
    <row r="57" spans="1:7" ht="16.5" customHeight="1" x14ac:dyDescent="0.3">
      <c r="A57" s="426"/>
      <c r="B57" s="450" t="s">
        <v>24</v>
      </c>
      <c r="C57" s="451"/>
      <c r="D57" s="451"/>
      <c r="E57" s="451"/>
    </row>
    <row r="58" spans="1:7" ht="14.25" customHeight="1" thickBot="1" x14ac:dyDescent="0.3">
      <c r="A58" s="453"/>
      <c r="B58" s="454"/>
      <c r="D58" s="455"/>
      <c r="F58" s="456"/>
      <c r="G58" s="456"/>
    </row>
    <row r="59" spans="1:7" ht="15" customHeight="1" x14ac:dyDescent="0.3">
      <c r="B59" s="466" t="s">
        <v>26</v>
      </c>
      <c r="C59" s="466"/>
      <c r="E59" s="457" t="s">
        <v>27</v>
      </c>
      <c r="F59" s="458"/>
      <c r="G59" s="457" t="s">
        <v>28</v>
      </c>
    </row>
    <row r="60" spans="1:7" ht="15" customHeight="1" x14ac:dyDescent="0.3">
      <c r="A60" s="459" t="s">
        <v>29</v>
      </c>
      <c r="B60" s="460"/>
      <c r="C60" s="460"/>
      <c r="E60" s="460"/>
      <c r="G60" s="460"/>
    </row>
    <row r="61" spans="1:7" ht="15" customHeight="1" x14ac:dyDescent="0.3">
      <c r="A61" s="459" t="s">
        <v>30</v>
      </c>
      <c r="B61" s="461"/>
      <c r="C61" s="461"/>
      <c r="E61" s="461"/>
      <c r="G61" s="46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43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42"/>
    </row>
    <row r="14" spans="1:7" ht="16.5" customHeight="1" x14ac:dyDescent="0.3">
      <c r="A14" s="474" t="s">
        <v>33</v>
      </c>
      <c r="B14" s="474"/>
      <c r="C14" s="12" t="s">
        <v>5</v>
      </c>
    </row>
    <row r="15" spans="1:7" ht="16.5" customHeight="1" x14ac:dyDescent="0.3">
      <c r="A15" s="474" t="s">
        <v>34</v>
      </c>
      <c r="B15" s="474"/>
      <c r="C15" s="12" t="s">
        <v>7</v>
      </c>
    </row>
    <row r="16" spans="1:7" ht="16.5" customHeight="1" x14ac:dyDescent="0.3">
      <c r="A16" s="474" t="s">
        <v>35</v>
      </c>
      <c r="B16" s="474"/>
      <c r="C16" s="12" t="s">
        <v>9</v>
      </c>
    </row>
    <row r="17" spans="1:5" ht="16.5" customHeight="1" x14ac:dyDescent="0.3">
      <c r="A17" s="474" t="s">
        <v>36</v>
      </c>
      <c r="B17" s="474"/>
      <c r="C17" s="12" t="s">
        <v>11</v>
      </c>
    </row>
    <row r="18" spans="1:5" ht="16.5" customHeight="1" x14ac:dyDescent="0.3">
      <c r="A18" s="474" t="s">
        <v>37</v>
      </c>
      <c r="B18" s="474"/>
      <c r="C18" s="49" t="s">
        <v>12</v>
      </c>
    </row>
    <row r="19" spans="1:5" ht="16.5" customHeight="1" x14ac:dyDescent="0.3">
      <c r="A19" s="474" t="s">
        <v>38</v>
      </c>
      <c r="B19" s="47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9" t="s">
        <v>1</v>
      </c>
      <c r="B21" s="469"/>
      <c r="C21" s="11" t="s">
        <v>39</v>
      </c>
      <c r="D21" s="18"/>
    </row>
    <row r="22" spans="1:5" ht="15.75" customHeight="1" x14ac:dyDescent="0.3">
      <c r="A22" s="473"/>
      <c r="B22" s="473"/>
      <c r="C22" s="9"/>
      <c r="D22" s="473"/>
      <c r="E22" s="47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1969.19</v>
      </c>
      <c r="D24" s="39">
        <f t="shared" ref="D24:D43" si="0">(C24-$C$46)/$C$46</f>
        <v>3.2943171378404401E-4</v>
      </c>
      <c r="E24" s="5"/>
    </row>
    <row r="25" spans="1:5" ht="15.75" customHeight="1" x14ac:dyDescent="0.3">
      <c r="C25" s="47">
        <v>1983.98</v>
      </c>
      <c r="D25" s="40">
        <f t="shared" si="0"/>
        <v>7.8426083473475041E-3</v>
      </c>
      <c r="E25" s="5"/>
    </row>
    <row r="26" spans="1:5" ht="15.75" customHeight="1" x14ac:dyDescent="0.3">
      <c r="C26" s="47">
        <v>1936.55</v>
      </c>
      <c r="D26" s="40">
        <f t="shared" si="0"/>
        <v>-1.6251371891321614E-2</v>
      </c>
      <c r="E26" s="5"/>
    </row>
    <row r="27" spans="1:5" ht="15.75" customHeight="1" x14ac:dyDescent="0.3">
      <c r="C27" s="47">
        <v>1997.08</v>
      </c>
      <c r="D27" s="40">
        <f t="shared" si="0"/>
        <v>1.4497281362876976E-2</v>
      </c>
      <c r="E27" s="5"/>
    </row>
    <row r="28" spans="1:5" ht="15.75" customHeight="1" x14ac:dyDescent="0.3">
      <c r="C28" s="47">
        <v>1997.15</v>
      </c>
      <c r="D28" s="40">
        <f t="shared" si="0"/>
        <v>1.4532840684334086E-2</v>
      </c>
      <c r="E28" s="5"/>
    </row>
    <row r="29" spans="1:5" ht="15.75" customHeight="1" x14ac:dyDescent="0.3">
      <c r="C29" s="47">
        <v>1988.24</v>
      </c>
      <c r="D29" s="40">
        <f t="shared" si="0"/>
        <v>1.0006647053160915E-2</v>
      </c>
      <c r="E29" s="5"/>
    </row>
    <row r="30" spans="1:5" ht="15.75" customHeight="1" x14ac:dyDescent="0.3">
      <c r="C30" s="47">
        <v>1968.74</v>
      </c>
      <c r="D30" s="40">
        <f t="shared" si="0"/>
        <v>1.0083607584598407E-4</v>
      </c>
      <c r="E30" s="5"/>
    </row>
    <row r="31" spans="1:5" ht="15.75" customHeight="1" x14ac:dyDescent="0.3">
      <c r="C31" s="47">
        <v>1947.56</v>
      </c>
      <c r="D31" s="40">
        <f t="shared" si="0"/>
        <v>-1.065839861643765E-2</v>
      </c>
      <c r="E31" s="5"/>
    </row>
    <row r="32" spans="1:5" ht="15.75" customHeight="1" x14ac:dyDescent="0.3">
      <c r="C32" s="47">
        <v>1964.23</v>
      </c>
      <c r="D32" s="40">
        <f t="shared" si="0"/>
        <v>-2.1902002065996694E-3</v>
      </c>
      <c r="E32" s="5"/>
    </row>
    <row r="33" spans="1:7" ht="15.75" customHeight="1" x14ac:dyDescent="0.3">
      <c r="C33" s="47">
        <v>1960.19</v>
      </c>
      <c r="D33" s="40">
        <f t="shared" si="0"/>
        <v>-4.2424810449766936E-3</v>
      </c>
      <c r="E33" s="5"/>
    </row>
    <row r="34" spans="1:7" ht="15.75" customHeight="1" x14ac:dyDescent="0.3">
      <c r="C34" s="47">
        <v>1990.84</v>
      </c>
      <c r="D34" s="40">
        <f t="shared" si="0"/>
        <v>1.1327421850136193E-2</v>
      </c>
      <c r="E34" s="5"/>
    </row>
    <row r="35" spans="1:7" ht="15.75" customHeight="1" x14ac:dyDescent="0.3">
      <c r="C35" s="47">
        <v>1946.66</v>
      </c>
      <c r="D35" s="40">
        <f t="shared" si="0"/>
        <v>-1.1115589892313654E-2</v>
      </c>
      <c r="E35" s="5"/>
    </row>
    <row r="36" spans="1:7" ht="15.75" customHeight="1" x14ac:dyDescent="0.3">
      <c r="C36" s="47">
        <v>1958.48</v>
      </c>
      <c r="D36" s="40">
        <f t="shared" si="0"/>
        <v>-5.1111444691412516E-3</v>
      </c>
      <c r="E36" s="5"/>
    </row>
    <row r="37" spans="1:7" ht="15.75" customHeight="1" x14ac:dyDescent="0.3">
      <c r="C37" s="47">
        <v>1994.97</v>
      </c>
      <c r="D37" s="40">
        <f t="shared" si="0"/>
        <v>1.3425421816100897E-2</v>
      </c>
      <c r="E37" s="5"/>
    </row>
    <row r="38" spans="1:7" ht="15.75" customHeight="1" x14ac:dyDescent="0.3">
      <c r="C38" s="47">
        <v>1985.4</v>
      </c>
      <c r="D38" s="40">
        <f t="shared" si="0"/>
        <v>8.5639545826186794E-3</v>
      </c>
      <c r="E38" s="5"/>
    </row>
    <row r="39" spans="1:7" ht="15.75" customHeight="1" x14ac:dyDescent="0.3">
      <c r="C39" s="47">
        <v>1970.1</v>
      </c>
      <c r="D39" s="40">
        <f t="shared" si="0"/>
        <v>7.9170289272533357E-4</v>
      </c>
      <c r="E39" s="5"/>
    </row>
    <row r="40" spans="1:7" ht="15.75" customHeight="1" x14ac:dyDescent="0.3">
      <c r="C40" s="47">
        <v>1943.4</v>
      </c>
      <c r="D40" s="40">
        <f t="shared" si="0"/>
        <v>-1.2771638291598095E-2</v>
      </c>
      <c r="E40" s="5"/>
    </row>
    <row r="41" spans="1:7" ht="15.75" customHeight="1" x14ac:dyDescent="0.3">
      <c r="C41" s="47">
        <v>1959.18</v>
      </c>
      <c r="D41" s="40">
        <f t="shared" si="0"/>
        <v>-4.7555512545709487E-3</v>
      </c>
      <c r="E41" s="5"/>
    </row>
    <row r="42" spans="1:7" ht="15.75" customHeight="1" x14ac:dyDescent="0.3">
      <c r="C42" s="47">
        <v>1955.15</v>
      </c>
      <c r="D42" s="40">
        <f t="shared" si="0"/>
        <v>-6.8027521898826873E-3</v>
      </c>
      <c r="E42" s="5"/>
    </row>
    <row r="43" spans="1:7" ht="16.5" customHeight="1" x14ac:dyDescent="0.3">
      <c r="C43" s="48">
        <v>1953.74</v>
      </c>
      <c r="D43" s="41">
        <f t="shared" si="0"/>
        <v>-7.5190185220885778E-3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39370.83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1968.5415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67">
        <f>C46</f>
        <v>1968.5415</v>
      </c>
      <c r="C49" s="45">
        <f>-IF(C46&lt;=80,10%,IF(C46&lt;250,7.5%,5%))</f>
        <v>-0.05</v>
      </c>
      <c r="D49" s="33">
        <f>IF(C46&lt;=80,C46*0.9,IF(C46&lt;250,C46*0.925,C46*0.95))</f>
        <v>1870.114425</v>
      </c>
    </row>
    <row r="50" spans="1:6" ht="17.25" customHeight="1" x14ac:dyDescent="0.3">
      <c r="B50" s="468"/>
      <c r="C50" s="46">
        <f>IF(C46&lt;=80, 10%, IF(C46&lt;250, 7.5%, 5%))</f>
        <v>0.05</v>
      </c>
      <c r="D50" s="33">
        <f>IF(C46&lt;=80, C46*1.1, IF(C46&lt;250, C46*1.075, C46*1.05))</f>
        <v>2066.9685750000003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4" zoomScale="55" zoomScaleNormal="40" zoomScalePageLayoutView="55" workbookViewId="0">
      <selection activeCell="G107" sqref="G10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50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52" t="s">
        <v>33</v>
      </c>
      <c r="B18" s="475" t="s">
        <v>5</v>
      </c>
      <c r="C18" s="475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0" t="s">
        <v>9</v>
      </c>
      <c r="C20" s="48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5"/>
      <c r="C26" s="475"/>
    </row>
    <row r="27" spans="1:14" ht="26.25" customHeight="1" x14ac:dyDescent="0.4">
      <c r="A27" s="61" t="s">
        <v>48</v>
      </c>
      <c r="B27" s="481" t="s">
        <v>126</v>
      </c>
      <c r="C27" s="481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82" t="s">
        <v>50</v>
      </c>
      <c r="D29" s="483"/>
      <c r="E29" s="483"/>
      <c r="F29" s="483"/>
      <c r="G29" s="48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85" t="s">
        <v>53</v>
      </c>
      <c r="D31" s="486"/>
      <c r="E31" s="486"/>
      <c r="F31" s="486"/>
      <c r="G31" s="486"/>
      <c r="H31" s="48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85" t="s">
        <v>55</v>
      </c>
      <c r="D32" s="486"/>
      <c r="E32" s="486"/>
      <c r="F32" s="486"/>
      <c r="G32" s="486"/>
      <c r="H32" s="48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88" t="s">
        <v>59</v>
      </c>
      <c r="E36" s="489"/>
      <c r="F36" s="488" t="s">
        <v>60</v>
      </c>
      <c r="G36" s="49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50</v>
      </c>
      <c r="C38" s="83">
        <v>1</v>
      </c>
      <c r="D38" s="84">
        <v>248528710</v>
      </c>
      <c r="E38" s="85">
        <f>IF(ISBLANK(D38),"-",$D$48/$D$45*D38)</f>
        <v>255258209.81444308</v>
      </c>
      <c r="F38" s="84">
        <v>261299310</v>
      </c>
      <c r="G38" s="86">
        <f>IF(ISBLANK(F38),"-",$D$48/$F$45*F38)</f>
        <v>253874866.46758857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249300360</v>
      </c>
      <c r="E39" s="90">
        <f>IF(ISBLANK(D39),"-",$D$48/$D$45*D39)</f>
        <v>256050754.05451626</v>
      </c>
      <c r="F39" s="89">
        <v>261708070</v>
      </c>
      <c r="G39" s="91">
        <f>IF(ISBLANK(F39),"-",$D$48/$F$45*F39)</f>
        <v>254272012.14094412</v>
      </c>
      <c r="I39" s="492">
        <f>ABS((F43/D43*D42)-F42)/D42</f>
        <v>7.0375576175274171E-3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248804260</v>
      </c>
      <c r="E40" s="90">
        <f>IF(ISBLANK(D40),"-",$D$48/$D$45*D40)</f>
        <v>255541220.97928745</v>
      </c>
      <c r="F40" s="89">
        <v>261014480</v>
      </c>
      <c r="G40" s="91">
        <f>IF(ISBLANK(F40),"-",$D$48/$F$45*F40)</f>
        <v>253598129.50178501</v>
      </c>
      <c r="I40" s="49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/>
      <c r="F41" s="94"/>
      <c r="G41" s="96"/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248877776.66666666</v>
      </c>
      <c r="E42" s="100">
        <f>AVERAGE(E38:E41)</f>
        <v>255616728.28274894</v>
      </c>
      <c r="F42" s="99">
        <f>AVERAGE(F38:F41)</f>
        <v>261340620</v>
      </c>
      <c r="G42" s="101">
        <f>AVERAGE(G38:G41)</f>
        <v>253915002.70343924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19.61</v>
      </c>
      <c r="E43" s="92"/>
      <c r="F43" s="104">
        <v>20.73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19.61</v>
      </c>
      <c r="E44" s="107"/>
      <c r="F44" s="106">
        <f>F43*$B$34</f>
        <v>20.73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19.472729999999999</v>
      </c>
      <c r="E45" s="110"/>
      <c r="F45" s="109">
        <f>F44*$B$30/100</f>
        <v>20.584890000000001</v>
      </c>
      <c r="H45" s="102"/>
    </row>
    <row r="46" spans="1:14" ht="19.5" customHeight="1" x14ac:dyDescent="0.3">
      <c r="A46" s="493" t="s">
        <v>78</v>
      </c>
      <c r="B46" s="494"/>
      <c r="C46" s="105" t="s">
        <v>79</v>
      </c>
      <c r="D46" s="111">
        <f>D45/$B$45</f>
        <v>0.15578183999999998</v>
      </c>
      <c r="E46" s="112"/>
      <c r="F46" s="113">
        <f>F45/$B$45</f>
        <v>0.16467912000000001</v>
      </c>
      <c r="H46" s="102"/>
    </row>
    <row r="47" spans="1:14" ht="27" customHeight="1" x14ac:dyDescent="0.4">
      <c r="A47" s="495"/>
      <c r="B47" s="496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254765865.49309409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3.8840948315966334E-3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
Atazanavir (as sulfate) equivalent to Atazanavir 300 mg
Ritonavir USP 100 MG</v>
      </c>
    </row>
    <row r="56" spans="1:12" ht="26.25" customHeight="1" x14ac:dyDescent="0.4">
      <c r="A56" s="129" t="s">
        <v>87</v>
      </c>
      <c r="B56" s="130">
        <v>100</v>
      </c>
      <c r="C56" s="51" t="str">
        <f>B20</f>
        <v>ATAZANAVIR, RITONAVIR</v>
      </c>
      <c r="H56" s="131"/>
    </row>
    <row r="57" spans="1:12" ht="18.75" x14ac:dyDescent="0.3">
      <c r="A57" s="128" t="s">
        <v>88</v>
      </c>
      <c r="B57" s="223">
        <f>Uniformity!C46</f>
        <v>1968.5415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497" t="s">
        <v>94</v>
      </c>
      <c r="D60" s="500">
        <v>1964.03</v>
      </c>
      <c r="E60" s="134">
        <v>1</v>
      </c>
      <c r="F60" s="135">
        <v>251796170</v>
      </c>
      <c r="G60" s="225">
        <f>IF(ISBLANK(F60),"-",(F60/$D$50*$D$47*$B$68)*($B$57/$D$60))</f>
        <v>99.061371936398842</v>
      </c>
      <c r="H60" s="136">
        <f>IF(ISBLANK(F60),"-",G60/$B$56)</f>
        <v>0.99061371936398845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498"/>
      <c r="D61" s="501"/>
      <c r="E61" s="137">
        <v>2</v>
      </c>
      <c r="F61" s="89">
        <v>251572920</v>
      </c>
      <c r="G61" s="226">
        <f>IF(ISBLANK(F61),"-",(F61/$D$50*$D$47*$B$68)*($B$57/$D$60))</f>
        <v>98.973541167230294</v>
      </c>
      <c r="H61" s="138">
        <f t="shared" ref="H61:H71" si="0">IF(ISBLANK(F61),"-",G61/$B$56)</f>
        <v>0.98973541167230294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98"/>
      <c r="D62" s="501"/>
      <c r="E62" s="137">
        <v>3</v>
      </c>
      <c r="F62" s="139">
        <v>250968720</v>
      </c>
      <c r="G62" s="226">
        <f>IF(ISBLANK(F62),"-",(F62/$D$50*$D$47*$B$68)*($B$57/$D$60))</f>
        <v>98.735837468544261</v>
      </c>
      <c r="H62" s="138">
        <f t="shared" si="0"/>
        <v>0.98735837468544263</v>
      </c>
      <c r="L62" s="64"/>
    </row>
    <row r="63" spans="1:12" ht="27" customHeight="1" x14ac:dyDescent="0.4">
      <c r="A63" s="76" t="s">
        <v>97</v>
      </c>
      <c r="B63" s="77">
        <v>1</v>
      </c>
      <c r="C63" s="499"/>
      <c r="D63" s="502"/>
      <c r="E63" s="140">
        <v>4</v>
      </c>
      <c r="F63" s="141"/>
      <c r="G63" s="226"/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7" t="s">
        <v>99</v>
      </c>
      <c r="D64" s="500">
        <v>1969.28</v>
      </c>
      <c r="E64" s="134">
        <v>1</v>
      </c>
      <c r="F64" s="135">
        <v>254934970</v>
      </c>
      <c r="G64" s="227">
        <f>IF(ISBLANK(F64),"-",(F64/$D$50*$D$47*$B$68)*($B$57/$D$64))</f>
        <v>100.02885053062155</v>
      </c>
      <c r="H64" s="142">
        <f>IF(ISBLANK(F64),"-",G64/$B$56)</f>
        <v>1.0002885053062156</v>
      </c>
    </row>
    <row r="65" spans="1:8" ht="26.25" customHeight="1" x14ac:dyDescent="0.4">
      <c r="A65" s="76" t="s">
        <v>100</v>
      </c>
      <c r="B65" s="77">
        <v>1</v>
      </c>
      <c r="C65" s="498"/>
      <c r="D65" s="501"/>
      <c r="E65" s="137">
        <v>2</v>
      </c>
      <c r="F65" s="89">
        <v>254680620</v>
      </c>
      <c r="G65" s="228">
        <f>IF(ISBLANK(F65),"-",(F65/$D$50*$D$47*$B$68)*($B$57/$D$64))</f>
        <v>99.929051204807365</v>
      </c>
      <c r="H65" s="143">
        <f t="shared" si="0"/>
        <v>0.99929051204807362</v>
      </c>
    </row>
    <row r="66" spans="1:8" ht="26.25" customHeight="1" x14ac:dyDescent="0.4">
      <c r="A66" s="76" t="s">
        <v>101</v>
      </c>
      <c r="B66" s="77">
        <v>1</v>
      </c>
      <c r="C66" s="498"/>
      <c r="D66" s="501"/>
      <c r="E66" s="137">
        <v>3</v>
      </c>
      <c r="F66" s="89">
        <v>254820360</v>
      </c>
      <c r="G66" s="228">
        <f>IF(ISBLANK(F66),"-",(F66/$D$50*$D$47*$B$68)*($B$57/$D$64))</f>
        <v>99.983880997570395</v>
      </c>
      <c r="H66" s="143">
        <f t="shared" si="0"/>
        <v>0.99983880997570396</v>
      </c>
    </row>
    <row r="67" spans="1:8" ht="27" customHeight="1" x14ac:dyDescent="0.4">
      <c r="A67" s="76" t="s">
        <v>102</v>
      </c>
      <c r="B67" s="77">
        <v>1</v>
      </c>
      <c r="C67" s="499"/>
      <c r="D67" s="502"/>
      <c r="E67" s="140">
        <v>4</v>
      </c>
      <c r="F67" s="141"/>
      <c r="G67" s="229"/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625</v>
      </c>
      <c r="C68" s="497" t="s">
        <v>104</v>
      </c>
      <c r="D68" s="500">
        <v>1971.03</v>
      </c>
      <c r="E68" s="134">
        <v>1</v>
      </c>
      <c r="F68" s="135">
        <v>259062090</v>
      </c>
      <c r="G68" s="227">
        <f>IF(ISBLANK(F68),"-",(F68/$D$50*$D$47*$B$68)*($B$57/$D$68))</f>
        <v>101.557959423752</v>
      </c>
      <c r="H68" s="138">
        <f>IF(ISBLANK(F68),"-",G68/$B$56)</f>
        <v>1.0155795942375199</v>
      </c>
    </row>
    <row r="69" spans="1:8" ht="27" customHeight="1" x14ac:dyDescent="0.4">
      <c r="A69" s="124" t="s">
        <v>105</v>
      </c>
      <c r="B69" s="146">
        <f>(D47*B68)/B56*B57</f>
        <v>1968.5415</v>
      </c>
      <c r="C69" s="498"/>
      <c r="D69" s="501"/>
      <c r="E69" s="137">
        <v>2</v>
      </c>
      <c r="F69" s="89">
        <v>258702710</v>
      </c>
      <c r="G69" s="228">
        <f>IF(ISBLANK(F69),"-",(F69/$D$50*$D$47*$B$68)*($B$57/$D$68))</f>
        <v>101.41707466729187</v>
      </c>
      <c r="H69" s="138">
        <f t="shared" si="0"/>
        <v>1.0141707466729186</v>
      </c>
    </row>
    <row r="70" spans="1:8" ht="26.25" customHeight="1" x14ac:dyDescent="0.4">
      <c r="A70" s="510" t="s">
        <v>78</v>
      </c>
      <c r="B70" s="511"/>
      <c r="C70" s="498"/>
      <c r="D70" s="501"/>
      <c r="E70" s="137">
        <v>3</v>
      </c>
      <c r="F70" s="89">
        <v>259519540</v>
      </c>
      <c r="G70" s="228">
        <f>IF(ISBLANK(F70),"-",(F70/$D$50*$D$47*$B$68)*($B$57/$D$68))</f>
        <v>101.73728974776198</v>
      </c>
      <c r="H70" s="138">
        <f t="shared" si="0"/>
        <v>1.0173728974776197</v>
      </c>
    </row>
    <row r="71" spans="1:8" ht="27" customHeight="1" x14ac:dyDescent="0.4">
      <c r="A71" s="512"/>
      <c r="B71" s="513"/>
      <c r="C71" s="509"/>
      <c r="D71" s="502"/>
      <c r="E71" s="140">
        <v>4</v>
      </c>
      <c r="F71" s="141"/>
      <c r="G71" s="229"/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1.0015831746044206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1.1582743947762651E-2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505" t="str">
        <f>B20</f>
        <v>ATAZANAVIR, RITONAVIR</v>
      </c>
      <c r="D76" s="505"/>
      <c r="E76" s="157" t="s">
        <v>108</v>
      </c>
      <c r="F76" s="157"/>
      <c r="G76" s="158">
        <f>H72</f>
        <v>1.0015831746044206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1">
        <f>B26</f>
        <v>0</v>
      </c>
      <c r="C79" s="491"/>
    </row>
    <row r="80" spans="1:8" ht="26.25" customHeight="1" x14ac:dyDescent="0.4">
      <c r="A80" s="61" t="s">
        <v>48</v>
      </c>
      <c r="B80" s="491" t="str">
        <f>B27</f>
        <v>R9-1</v>
      </c>
      <c r="C80" s="491"/>
    </row>
    <row r="81" spans="1:12" ht="27" customHeight="1" x14ac:dyDescent="0.4">
      <c r="A81" s="61" t="s">
        <v>6</v>
      </c>
      <c r="B81" s="160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82" t="s">
        <v>50</v>
      </c>
      <c r="D82" s="483"/>
      <c r="E82" s="483"/>
      <c r="F82" s="483"/>
      <c r="G82" s="48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154.46</v>
      </c>
      <c r="C84" s="485" t="s">
        <v>111</v>
      </c>
      <c r="D84" s="486"/>
      <c r="E84" s="486"/>
      <c r="F84" s="486"/>
      <c r="G84" s="486"/>
      <c r="H84" s="48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165.23</v>
      </c>
      <c r="C85" s="485" t="s">
        <v>112</v>
      </c>
      <c r="D85" s="486"/>
      <c r="E85" s="486"/>
      <c r="F85" s="486"/>
      <c r="G85" s="486"/>
      <c r="H85" s="48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0.93481813230042976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/>
      <c r="D89" s="161" t="s">
        <v>59</v>
      </c>
      <c r="E89" s="162"/>
      <c r="F89" s="488" t="s">
        <v>60</v>
      </c>
      <c r="G89" s="490"/>
    </row>
    <row r="90" spans="1:12" ht="27" customHeight="1" x14ac:dyDescent="0.4">
      <c r="A90" s="76" t="s">
        <v>61</v>
      </c>
      <c r="B90" s="77"/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/>
      <c r="C91" s="165">
        <v>1</v>
      </c>
      <c r="D91" s="84"/>
      <c r="E91" s="85"/>
      <c r="F91" s="84"/>
      <c r="G91" s="86"/>
      <c r="I91" s="87"/>
    </row>
    <row r="92" spans="1:12" ht="26.25" customHeight="1" x14ac:dyDescent="0.4">
      <c r="A92" s="76" t="s">
        <v>67</v>
      </c>
      <c r="B92" s="77"/>
      <c r="C92" s="149">
        <v>2</v>
      </c>
      <c r="D92" s="89"/>
      <c r="E92" s="90"/>
      <c r="F92" s="89"/>
      <c r="G92" s="91"/>
      <c r="I92" s="492" t="e">
        <f>ABS((F96/D96*D95)-F95)/D95</f>
        <v>#DIV/0!</v>
      </c>
    </row>
    <row r="93" spans="1:12" ht="26.25" customHeight="1" x14ac:dyDescent="0.4">
      <c r="A93" s="76" t="s">
        <v>68</v>
      </c>
      <c r="B93" s="77"/>
      <c r="C93" s="149">
        <v>3</v>
      </c>
      <c r="D93" s="89"/>
      <c r="E93" s="90"/>
      <c r="F93" s="89"/>
      <c r="G93" s="91"/>
      <c r="I93" s="492"/>
    </row>
    <row r="94" spans="1:12" ht="27" customHeight="1" x14ac:dyDescent="0.4">
      <c r="A94" s="76" t="s">
        <v>69</v>
      </c>
      <c r="B94" s="77"/>
      <c r="C94" s="166">
        <v>4</v>
      </c>
      <c r="D94" s="94"/>
      <c r="E94" s="95"/>
      <c r="F94" s="167"/>
      <c r="G94" s="96"/>
      <c r="I94" s="97"/>
    </row>
    <row r="95" spans="1:12" ht="27" customHeight="1" x14ac:dyDescent="0.4">
      <c r="A95" s="76" t="s">
        <v>70</v>
      </c>
      <c r="B95" s="77"/>
      <c r="C95" s="168" t="s">
        <v>71</v>
      </c>
      <c r="D95" s="169" t="e">
        <f>AVERAGE(D91:D94)</f>
        <v>#DIV/0!</v>
      </c>
      <c r="E95" s="100" t="e">
        <f>AVERAGE(E91:E94)</f>
        <v>#DIV/0!</v>
      </c>
      <c r="F95" s="170" t="e">
        <f>AVERAGE(F91:F94)</f>
        <v>#DIV/0!</v>
      </c>
      <c r="G95" s="171" t="e">
        <f>AVERAGE(G91:G94)</f>
        <v>#DIV/0!</v>
      </c>
    </row>
    <row r="96" spans="1:12" ht="26.25" customHeight="1" x14ac:dyDescent="0.4">
      <c r="A96" s="76" t="s">
        <v>72</v>
      </c>
      <c r="B96" s="62"/>
      <c r="C96" s="172" t="s">
        <v>113</v>
      </c>
      <c r="D96" s="173"/>
      <c r="E96" s="92"/>
      <c r="F96" s="104"/>
    </row>
    <row r="97" spans="1:10" ht="26.25" customHeight="1" x14ac:dyDescent="0.4">
      <c r="A97" s="76" t="s">
        <v>74</v>
      </c>
      <c r="B97" s="62"/>
      <c r="C97" s="174" t="s">
        <v>114</v>
      </c>
      <c r="D97" s="175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76" t="e">
        <f>(B97/B96)*(B95/B94)*(B93/B92)*(B91/B90)*B89</f>
        <v>#DIV/0!</v>
      </c>
      <c r="C98" s="174" t="s">
        <v>115</v>
      </c>
      <c r="D98" s="177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93" t="s">
        <v>78</v>
      </c>
      <c r="B99" s="507"/>
      <c r="C99" s="174" t="s">
        <v>116</v>
      </c>
      <c r="D99" s="178" t="e">
        <f>D98/$B$98</f>
        <v>#DIV/0!</v>
      </c>
      <c r="E99" s="110"/>
      <c r="F99" s="113" t="e">
        <f>F98/$B$98</f>
        <v>#DIV/0!</v>
      </c>
      <c r="G99" s="179"/>
      <c r="H99" s="102"/>
    </row>
    <row r="100" spans="1:10" ht="19.5" customHeight="1" x14ac:dyDescent="0.3">
      <c r="A100" s="495"/>
      <c r="B100" s="508"/>
      <c r="C100" s="174" t="s">
        <v>80</v>
      </c>
      <c r="D100" s="180" t="e">
        <f>$B$56/$B$116</f>
        <v>#DIV/0!</v>
      </c>
      <c r="F100" s="118"/>
      <c r="G100" s="181"/>
      <c r="H100" s="102"/>
    </row>
    <row r="101" spans="1:10" ht="18.75" x14ac:dyDescent="0.3">
      <c r="C101" s="174" t="s">
        <v>81</v>
      </c>
      <c r="D101" s="175" t="e">
        <f>D100*$B$98</f>
        <v>#DIV/0!</v>
      </c>
      <c r="F101" s="118"/>
      <c r="G101" s="179"/>
      <c r="H101" s="102"/>
    </row>
    <row r="102" spans="1:10" ht="19.5" customHeight="1" x14ac:dyDescent="0.3">
      <c r="C102" s="182" t="s">
        <v>82</v>
      </c>
      <c r="D102" s="183" t="e">
        <f>D101/B34</f>
        <v>#DIV/0!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 t="e">
        <f>AVERAGE(E91:E94,G91:G94)</f>
        <v>#DIV/0!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 t="e">
        <f>STDEV(E91:E94,G91:G94)/D103</f>
        <v>#DIV/0!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0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/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/>
      <c r="C108" s="195">
        <v>1</v>
      </c>
      <c r="D108" s="196"/>
      <c r="E108" s="231"/>
      <c r="F108" s="197"/>
    </row>
    <row r="109" spans="1:10" ht="26.25" customHeight="1" x14ac:dyDescent="0.4">
      <c r="A109" s="76" t="s">
        <v>95</v>
      </c>
      <c r="B109" s="77"/>
      <c r="C109" s="195">
        <v>2</v>
      </c>
      <c r="D109" s="196"/>
      <c r="E109" s="232"/>
      <c r="F109" s="198"/>
    </row>
    <row r="110" spans="1:10" ht="26.25" customHeight="1" x14ac:dyDescent="0.4">
      <c r="A110" s="76" t="s">
        <v>96</v>
      </c>
      <c r="B110" s="77"/>
      <c r="C110" s="195">
        <v>3</v>
      </c>
      <c r="D110" s="196"/>
      <c r="E110" s="232"/>
      <c r="F110" s="198"/>
    </row>
    <row r="111" spans="1:10" ht="26.25" customHeight="1" x14ac:dyDescent="0.4">
      <c r="A111" s="76" t="s">
        <v>97</v>
      </c>
      <c r="B111" s="77"/>
      <c r="C111" s="195">
        <v>4</v>
      </c>
      <c r="D111" s="196"/>
      <c r="E111" s="232"/>
      <c r="F111" s="198"/>
    </row>
    <row r="112" spans="1:10" ht="26.25" customHeight="1" x14ac:dyDescent="0.4">
      <c r="A112" s="76" t="s">
        <v>98</v>
      </c>
      <c r="B112" s="77"/>
      <c r="C112" s="195">
        <v>5</v>
      </c>
      <c r="D112" s="196"/>
      <c r="E112" s="232"/>
      <c r="F112" s="198"/>
    </row>
    <row r="113" spans="1:10" ht="26.25" customHeight="1" x14ac:dyDescent="0.4">
      <c r="A113" s="76" t="s">
        <v>100</v>
      </c>
      <c r="B113" s="77"/>
      <c r="C113" s="199">
        <v>6</v>
      </c>
      <c r="D113" s="200"/>
      <c r="E113" s="233"/>
      <c r="F113" s="201"/>
    </row>
    <row r="114" spans="1:10" ht="26.25" customHeight="1" x14ac:dyDescent="0.4">
      <c r="A114" s="76" t="s">
        <v>101</v>
      </c>
      <c r="B114" s="77"/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/>
      <c r="C115" s="195"/>
      <c r="D115" s="203"/>
      <c r="E115" s="204" t="s">
        <v>71</v>
      </c>
      <c r="F115" s="205" t="e">
        <f>AVERAGE(F108:F113)</f>
        <v>#DIV/0!</v>
      </c>
    </row>
    <row r="116" spans="1:10" ht="27" customHeight="1" x14ac:dyDescent="0.4">
      <c r="A116" s="76" t="s">
        <v>103</v>
      </c>
      <c r="B116" s="108" t="e">
        <f>(B115/B114)*(B113/B112)*(B111/B110)*(B109/B108)*B107</f>
        <v>#DIV/0!</v>
      </c>
      <c r="C116" s="206"/>
      <c r="D116" s="207"/>
      <c r="E116" s="168" t="s">
        <v>84</v>
      </c>
      <c r="F116" s="208" t="e">
        <f>STDEV(F108:F113)/F115</f>
        <v>#DIV/0!</v>
      </c>
      <c r="I116" s="50"/>
    </row>
    <row r="117" spans="1:10" ht="27" customHeight="1" x14ac:dyDescent="0.4">
      <c r="A117" s="493" t="s">
        <v>78</v>
      </c>
      <c r="B117" s="494"/>
      <c r="C117" s="209"/>
      <c r="D117" s="210"/>
      <c r="E117" s="211" t="s">
        <v>20</v>
      </c>
      <c r="F117" s="212">
        <f>COUNT(F108:F113)</f>
        <v>0</v>
      </c>
      <c r="I117" s="50"/>
      <c r="J117" s="188"/>
    </row>
    <row r="118" spans="1:10" ht="19.5" customHeight="1" x14ac:dyDescent="0.3">
      <c r="A118" s="495"/>
      <c r="B118" s="49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505" t="str">
        <f>B20</f>
        <v>ATAZANAVIR, RITONAVIR</v>
      </c>
      <c r="D120" s="505"/>
      <c r="E120" s="157" t="s">
        <v>124</v>
      </c>
      <c r="F120" s="157"/>
      <c r="G120" s="158" t="e">
        <f>F115</f>
        <v>#DIV/0!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506" t="s">
        <v>26</v>
      </c>
      <c r="C122" s="506"/>
      <c r="E122" s="163" t="s">
        <v>27</v>
      </c>
      <c r="F122" s="215"/>
      <c r="G122" s="506" t="s">
        <v>28</v>
      </c>
      <c r="H122" s="506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6" zoomScale="50" zoomScaleNormal="40" zoomScalePageLayoutView="50" workbookViewId="0">
      <selection activeCell="H114" sqref="H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34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36" t="s">
        <v>33</v>
      </c>
      <c r="B18" s="475" t="s">
        <v>5</v>
      </c>
      <c r="C18" s="475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480" t="s">
        <v>9</v>
      </c>
      <c r="C20" s="480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475"/>
      <c r="C26" s="475"/>
    </row>
    <row r="27" spans="1:14" ht="26.25" customHeight="1" x14ac:dyDescent="0.4">
      <c r="A27" s="245" t="s">
        <v>48</v>
      </c>
      <c r="B27" s="481" t="s">
        <v>125</v>
      </c>
      <c r="C27" s="481"/>
    </row>
    <row r="28" spans="1:14" ht="27" customHeight="1" x14ac:dyDescent="0.4">
      <c r="A28" s="245" t="s">
        <v>6</v>
      </c>
      <c r="B28" s="246">
        <v>87.9</v>
      </c>
    </row>
    <row r="29" spans="1:14" s="3" customFormat="1" ht="27" customHeight="1" x14ac:dyDescent="0.4">
      <c r="A29" s="245" t="s">
        <v>49</v>
      </c>
      <c r="B29" s="247">
        <v>0</v>
      </c>
      <c r="C29" s="482" t="s">
        <v>50</v>
      </c>
      <c r="D29" s="483"/>
      <c r="E29" s="483"/>
      <c r="F29" s="483"/>
      <c r="G29" s="484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87.9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485" t="s">
        <v>53</v>
      </c>
      <c r="D31" s="486"/>
      <c r="E31" s="486"/>
      <c r="F31" s="486"/>
      <c r="G31" s="486"/>
      <c r="H31" s="487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485" t="s">
        <v>55</v>
      </c>
      <c r="D32" s="486"/>
      <c r="E32" s="486"/>
      <c r="F32" s="486"/>
      <c r="G32" s="486"/>
      <c r="H32" s="487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488" t="s">
        <v>59</v>
      </c>
      <c r="E36" s="489"/>
      <c r="F36" s="488" t="s">
        <v>60</v>
      </c>
      <c r="G36" s="490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1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</v>
      </c>
      <c r="C38" s="267">
        <v>1</v>
      </c>
      <c r="D38" s="268">
        <v>878332650</v>
      </c>
      <c r="E38" s="269">
        <f>IF(ISBLANK(D38),"-",$D$48/$D$45*D38)</f>
        <v>998408777.66821146</v>
      </c>
      <c r="F38" s="268">
        <v>903883220</v>
      </c>
      <c r="G38" s="270">
        <f>IF(ISBLANK(F38),"-",$D$48/$F$45*F38)</f>
        <v>994335428.05125213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273">
        <v>878710350</v>
      </c>
      <c r="E39" s="274">
        <f>IF(ISBLANK(D39),"-",$D$48/$D$45*D39)</f>
        <v>998838112.72176468</v>
      </c>
      <c r="F39" s="273">
        <v>904184460</v>
      </c>
      <c r="G39" s="275">
        <f>IF(ISBLANK(F39),"-",$D$48/$F$45*F39)</f>
        <v>994666813.34275711</v>
      </c>
      <c r="I39" s="492">
        <f>ABS((F43/D43*D42)-F42)/D42</f>
        <v>3.8066717644768587E-3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273">
        <v>875486070</v>
      </c>
      <c r="E40" s="274">
        <f>IF(ISBLANK(D40),"-",$D$48/$D$45*D40)</f>
        <v>995173044.07873964</v>
      </c>
      <c r="F40" s="273">
        <v>902118120</v>
      </c>
      <c r="G40" s="275">
        <f>IF(ISBLANK(F40),"-",$D$48/$F$45*F40)</f>
        <v>992393693.29479408</v>
      </c>
      <c r="I40" s="492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278"/>
      <c r="E41" s="279"/>
      <c r="F41" s="278"/>
      <c r="G41" s="280"/>
      <c r="I41" s="281"/>
      <c r="L41" s="253"/>
      <c r="M41" s="253"/>
      <c r="N41" s="276"/>
    </row>
    <row r="42" spans="1:14" ht="27" customHeight="1" x14ac:dyDescent="0.4">
      <c r="A42" s="260" t="s">
        <v>70</v>
      </c>
      <c r="B42" s="261">
        <v>1</v>
      </c>
      <c r="C42" s="282" t="s">
        <v>71</v>
      </c>
      <c r="D42" s="283">
        <f>AVERAGE(D38:D41)</f>
        <v>877509690</v>
      </c>
      <c r="E42" s="284">
        <f>AVERAGE(E38:E41)</f>
        <v>997473311.48957193</v>
      </c>
      <c r="F42" s="283">
        <f>AVERAGE(F38:F41)</f>
        <v>903395266.66666663</v>
      </c>
      <c r="G42" s="285">
        <f>AVERAGE(G38:G41)</f>
        <v>993798644.89626777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288">
        <v>24.02</v>
      </c>
      <c r="E43" s="276"/>
      <c r="F43" s="288">
        <v>24.82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24.02</v>
      </c>
      <c r="E44" s="291"/>
      <c r="F44" s="290">
        <f>F43*$B$34</f>
        <v>24.82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50</v>
      </c>
      <c r="C45" s="289" t="s">
        <v>77</v>
      </c>
      <c r="D45" s="293">
        <f>D44*$B$30/100</f>
        <v>21.113580000000002</v>
      </c>
      <c r="E45" s="294"/>
      <c r="F45" s="293">
        <f>F44*$B$30/100</f>
        <v>21.816780000000005</v>
      </c>
      <c r="H45" s="286"/>
    </row>
    <row r="46" spans="1:14" ht="19.5" customHeight="1" x14ac:dyDescent="0.3">
      <c r="A46" s="493" t="s">
        <v>78</v>
      </c>
      <c r="B46" s="494"/>
      <c r="C46" s="289" t="s">
        <v>79</v>
      </c>
      <c r="D46" s="295">
        <f>D45/$B$45</f>
        <v>0.42227160000000002</v>
      </c>
      <c r="E46" s="296"/>
      <c r="F46" s="297">
        <f>F45/$B$45</f>
        <v>0.4363356000000001</v>
      </c>
      <c r="H46" s="286"/>
    </row>
    <row r="47" spans="1:14" ht="27" customHeight="1" x14ac:dyDescent="0.4">
      <c r="A47" s="495"/>
      <c r="B47" s="496"/>
      <c r="C47" s="298" t="s">
        <v>80</v>
      </c>
      <c r="D47" s="299">
        <v>0.48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24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24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995635978.19291985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2.5129462886713211E-3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>Each film coated tablet contains:
Atazanavir (as sulfate) equivalent to Atazanavir 300 mg
Ritonavir USP 100 MG</v>
      </c>
    </row>
    <row r="56" spans="1:12" ht="26.25" customHeight="1" x14ac:dyDescent="0.4">
      <c r="A56" s="313" t="s">
        <v>87</v>
      </c>
      <c r="B56" s="314">
        <v>300</v>
      </c>
      <c r="C56" s="235" t="str">
        <f>B20</f>
        <v>ATAZANAVIR, RITONAVIR</v>
      </c>
      <c r="H56" s="315"/>
    </row>
    <row r="57" spans="1:12" ht="18.75" x14ac:dyDescent="0.3">
      <c r="A57" s="312" t="s">
        <v>88</v>
      </c>
      <c r="B57" s="407">
        <f>Uniformity!C46</f>
        <v>1968.5415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4</v>
      </c>
      <c r="C60" s="497" t="s">
        <v>94</v>
      </c>
      <c r="D60" s="500">
        <v>1964.03</v>
      </c>
      <c r="E60" s="318">
        <v>1</v>
      </c>
      <c r="F60" s="319">
        <v>971618370</v>
      </c>
      <c r="G60" s="409">
        <f>IF(ISBLANK(F60),"-",(F60/$D$50*$D$47*$B$68)*($B$57/$D$60))</f>
        <v>293.43563097936152</v>
      </c>
      <c r="H60" s="320">
        <f>IF(ISBLANK(F60),"-",G60/$B$56)</f>
        <v>0.97811876993120506</v>
      </c>
      <c r="L60" s="248"/>
    </row>
    <row r="61" spans="1:12" s="3" customFormat="1" ht="26.25" customHeight="1" x14ac:dyDescent="0.4">
      <c r="A61" s="260" t="s">
        <v>95</v>
      </c>
      <c r="B61" s="261">
        <v>25</v>
      </c>
      <c r="C61" s="498"/>
      <c r="D61" s="501"/>
      <c r="E61" s="321">
        <v>2</v>
      </c>
      <c r="F61" s="273">
        <v>971849260</v>
      </c>
      <c r="G61" s="410">
        <f>IF(ISBLANK(F61),"-",(F61/$D$50*$D$47*$B$68)*($B$57/$D$60))</f>
        <v>293.5053613950563</v>
      </c>
      <c r="H61" s="322">
        <f t="shared" ref="H61:H70" si="0">IF(ISBLANK(F61),"-",G61/$B$56)</f>
        <v>0.97835120465018766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498"/>
      <c r="D62" s="501"/>
      <c r="E62" s="321">
        <v>3</v>
      </c>
      <c r="F62" s="323">
        <v>972482110</v>
      </c>
      <c r="G62" s="410">
        <f>IF(ISBLANK(F62),"-",(F62/$D$50*$D$47*$B$68)*($B$57/$D$60))</f>
        <v>293.69648657835768</v>
      </c>
      <c r="H62" s="322">
        <f t="shared" si="0"/>
        <v>0.97898828859452558</v>
      </c>
      <c r="L62" s="248"/>
    </row>
    <row r="63" spans="1:12" ht="27" customHeight="1" x14ac:dyDescent="0.4">
      <c r="A63" s="260" t="s">
        <v>97</v>
      </c>
      <c r="B63" s="261">
        <v>1</v>
      </c>
      <c r="C63" s="499"/>
      <c r="D63" s="502"/>
      <c r="E63" s="324">
        <v>4</v>
      </c>
      <c r="F63" s="325"/>
      <c r="G63" s="410"/>
      <c r="H63" s="322"/>
    </row>
    <row r="64" spans="1:12" ht="26.25" customHeight="1" x14ac:dyDescent="0.4">
      <c r="A64" s="260" t="s">
        <v>98</v>
      </c>
      <c r="B64" s="261">
        <v>1</v>
      </c>
      <c r="C64" s="497" t="s">
        <v>99</v>
      </c>
      <c r="D64" s="500">
        <v>1969.28</v>
      </c>
      <c r="E64" s="318">
        <v>1</v>
      </c>
      <c r="F64" s="319">
        <v>979323100</v>
      </c>
      <c r="G64" s="411">
        <f>IF(ISBLANK(F64),"-",(F64/$D$50*$D$47*$B$68)*($B$57/$D$64))</f>
        <v>294.97402625052911</v>
      </c>
      <c r="H64" s="326">
        <f>IF(ISBLANK(F64),"-",G64/$B$56)</f>
        <v>0.98324675416843033</v>
      </c>
    </row>
    <row r="65" spans="1:8" ht="26.25" customHeight="1" x14ac:dyDescent="0.4">
      <c r="A65" s="260" t="s">
        <v>100</v>
      </c>
      <c r="B65" s="261">
        <v>1</v>
      </c>
      <c r="C65" s="498"/>
      <c r="D65" s="501"/>
      <c r="E65" s="321">
        <v>2</v>
      </c>
      <c r="F65" s="273">
        <v>979993770</v>
      </c>
      <c r="G65" s="412">
        <f>IF(ISBLANK(F65),"-",(F65/$D$50*$D$47*$B$68)*($B$57/$D$64))</f>
        <v>295.17603336154832</v>
      </c>
      <c r="H65" s="327">
        <f t="shared" si="0"/>
        <v>0.9839201112051611</v>
      </c>
    </row>
    <row r="66" spans="1:8" ht="26.25" customHeight="1" x14ac:dyDescent="0.4">
      <c r="A66" s="260" t="s">
        <v>101</v>
      </c>
      <c r="B66" s="261">
        <v>1</v>
      </c>
      <c r="C66" s="498"/>
      <c r="D66" s="501"/>
      <c r="E66" s="321">
        <v>3</v>
      </c>
      <c r="F66" s="273">
        <v>977126630</v>
      </c>
      <c r="G66" s="412">
        <f>IF(ISBLANK(F66),"-",(F66/$D$50*$D$47*$B$68)*($B$57/$D$64))</f>
        <v>294.31244520599074</v>
      </c>
      <c r="H66" s="327">
        <f t="shared" si="0"/>
        <v>0.98104148401996916</v>
      </c>
    </row>
    <row r="67" spans="1:8" ht="27" customHeight="1" x14ac:dyDescent="0.4">
      <c r="A67" s="260" t="s">
        <v>102</v>
      </c>
      <c r="B67" s="261">
        <v>1</v>
      </c>
      <c r="C67" s="499"/>
      <c r="D67" s="502"/>
      <c r="E67" s="324">
        <v>4</v>
      </c>
      <c r="F67" s="325"/>
      <c r="G67" s="413"/>
      <c r="H67" s="328"/>
    </row>
    <row r="68" spans="1:8" ht="26.25" customHeight="1" x14ac:dyDescent="0.4">
      <c r="A68" s="260" t="s">
        <v>103</v>
      </c>
      <c r="B68" s="329">
        <f>(B67/B66)*(B65/B64)*(B63/B62)*(B61/B60)*B59</f>
        <v>625</v>
      </c>
      <c r="C68" s="497" t="s">
        <v>104</v>
      </c>
      <c r="D68" s="500">
        <v>1971.03</v>
      </c>
      <c r="E68" s="318">
        <v>1</v>
      </c>
      <c r="F68" s="319">
        <v>984673570</v>
      </c>
      <c r="G68" s="411">
        <f>IF(ISBLANK(F68),"-",(F68/$D$50*$D$47*$B$68)*($B$57/$D$68))</f>
        <v>296.32227155616431</v>
      </c>
      <c r="H68" s="322">
        <f>IF(ISBLANK(F68),"-",G68/$B$56)</f>
        <v>0.98774090518721436</v>
      </c>
    </row>
    <row r="69" spans="1:8" ht="27" customHeight="1" x14ac:dyDescent="0.4">
      <c r="A69" s="308" t="s">
        <v>105</v>
      </c>
      <c r="B69" s="330">
        <f>(D47*B68)/B56*B57</f>
        <v>1968.5415</v>
      </c>
      <c r="C69" s="498"/>
      <c r="D69" s="501"/>
      <c r="E69" s="321">
        <v>2</v>
      </c>
      <c r="F69" s="273">
        <v>983356430</v>
      </c>
      <c r="G69" s="412">
        <f>IF(ISBLANK(F69),"-",(F69/$D$50*$D$47*$B$68)*($B$57/$D$68))</f>
        <v>295.92589865792809</v>
      </c>
      <c r="H69" s="322">
        <f t="shared" si="0"/>
        <v>0.98641966219309363</v>
      </c>
    </row>
    <row r="70" spans="1:8" ht="26.25" customHeight="1" x14ac:dyDescent="0.4">
      <c r="A70" s="510" t="s">
        <v>78</v>
      </c>
      <c r="B70" s="511"/>
      <c r="C70" s="498"/>
      <c r="D70" s="501"/>
      <c r="E70" s="321">
        <v>3</v>
      </c>
      <c r="F70" s="273">
        <v>985063260</v>
      </c>
      <c r="G70" s="412">
        <f>IF(ISBLANK(F70),"-",(F70/$D$50*$D$47*$B$68)*($B$57/$D$68))</f>
        <v>296.43954273061325</v>
      </c>
      <c r="H70" s="322">
        <f t="shared" si="0"/>
        <v>0.98813180910204423</v>
      </c>
    </row>
    <row r="71" spans="1:8" ht="27" customHeight="1" x14ac:dyDescent="0.4">
      <c r="A71" s="512"/>
      <c r="B71" s="513"/>
      <c r="C71" s="509"/>
      <c r="D71" s="502"/>
      <c r="E71" s="324">
        <v>4</v>
      </c>
      <c r="F71" s="325"/>
      <c r="G71" s="413"/>
      <c r="H71" s="331"/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0.98288433211687021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4.0482988785338564E-3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505" t="str">
        <f>B20</f>
        <v>ATAZANAVIR, RITONAVIR</v>
      </c>
      <c r="D76" s="505"/>
      <c r="E76" s="341" t="s">
        <v>108</v>
      </c>
      <c r="F76" s="341"/>
      <c r="G76" s="342">
        <f>H72</f>
        <v>0.98288433211687021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491">
        <f>B26</f>
        <v>0</v>
      </c>
      <c r="C79" s="491"/>
    </row>
    <row r="80" spans="1:8" ht="26.25" customHeight="1" x14ac:dyDescent="0.4">
      <c r="A80" s="245" t="s">
        <v>48</v>
      </c>
      <c r="B80" s="491" t="str">
        <f>B27</f>
        <v>A48-1</v>
      </c>
      <c r="C80" s="491"/>
    </row>
    <row r="81" spans="1:12" ht="27" customHeight="1" x14ac:dyDescent="0.4">
      <c r="A81" s="245" t="s">
        <v>6</v>
      </c>
      <c r="B81" s="344">
        <f>B28</f>
        <v>87.9</v>
      </c>
    </row>
    <row r="82" spans="1:12" s="3" customFormat="1" ht="27" customHeight="1" x14ac:dyDescent="0.4">
      <c r="A82" s="245" t="s">
        <v>49</v>
      </c>
      <c r="B82" s="247">
        <v>0</v>
      </c>
      <c r="C82" s="482" t="s">
        <v>50</v>
      </c>
      <c r="D82" s="483"/>
      <c r="E82" s="483"/>
      <c r="F82" s="483"/>
      <c r="G82" s="484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87.9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485" t="s">
        <v>111</v>
      </c>
      <c r="D84" s="486"/>
      <c r="E84" s="486"/>
      <c r="F84" s="486"/>
      <c r="G84" s="486"/>
      <c r="H84" s="487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485" t="s">
        <v>112</v>
      </c>
      <c r="D85" s="486"/>
      <c r="E85" s="486"/>
      <c r="F85" s="486"/>
      <c r="G85" s="486"/>
      <c r="H85" s="487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488" t="s">
        <v>60</v>
      </c>
      <c r="G89" s="490"/>
    </row>
    <row r="90" spans="1:12" ht="27" customHeight="1" x14ac:dyDescent="0.4">
      <c r="A90" s="260" t="s">
        <v>61</v>
      </c>
      <c r="B90" s="261">
        <v>1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</v>
      </c>
      <c r="C91" s="349">
        <v>1</v>
      </c>
      <c r="D91" s="268">
        <v>71275639</v>
      </c>
      <c r="E91" s="269">
        <f>IF(ISBLANK(D91),"-",$D$101/$D$98*D91)</f>
        <v>89041569.016435206</v>
      </c>
      <c r="F91" s="268">
        <v>81300157</v>
      </c>
      <c r="G91" s="270">
        <f>IF(ISBLANK(F91),"-",$D$101/$F$98*F91)</f>
        <v>89392699.280461624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71278598</v>
      </c>
      <c r="E92" s="274">
        <f>IF(ISBLANK(D92),"-",$D$101/$D$98*D92)</f>
        <v>89045265.566987634</v>
      </c>
      <c r="F92" s="273">
        <v>81182653</v>
      </c>
      <c r="G92" s="275">
        <f>IF(ISBLANK(F92),"-",$D$101/$F$98*F92)</f>
        <v>89263499.041201919</v>
      </c>
      <c r="I92" s="492">
        <f>ABS((F96/D96*D95)-F95)/D95</f>
        <v>3.182377878061179E-3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71297556</v>
      </c>
      <c r="E93" s="274">
        <f>IF(ISBLANK(D93),"-",$D$101/$D$98*D93)</f>
        <v>89068948.975359648</v>
      </c>
      <c r="F93" s="273">
        <v>81168452</v>
      </c>
      <c r="G93" s="275">
        <f>IF(ISBLANK(F93),"-",$D$101/$F$98*F93)</f>
        <v>89247884.486823127</v>
      </c>
      <c r="I93" s="492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/>
      <c r="F94" s="351"/>
      <c r="G94" s="280"/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71283931</v>
      </c>
      <c r="E95" s="284">
        <f>AVERAGE(E91:E94)</f>
        <v>89051927.852927491</v>
      </c>
      <c r="F95" s="354">
        <f>AVERAGE(F91:F94)</f>
        <v>81217087.333333328</v>
      </c>
      <c r="G95" s="355">
        <f>AVERAGE(G91:G94)</f>
        <v>89301360.936162233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13.66</v>
      </c>
      <c r="E96" s="276"/>
      <c r="F96" s="288">
        <v>15.52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13.66</v>
      </c>
      <c r="E97" s="291"/>
      <c r="F97" s="290">
        <f>F96*$B$87</f>
        <v>15.52</v>
      </c>
    </row>
    <row r="98" spans="1:10" ht="19.5" customHeight="1" x14ac:dyDescent="0.3">
      <c r="A98" s="260" t="s">
        <v>76</v>
      </c>
      <c r="B98" s="360">
        <f>(B97/B96)*(B95/B94)*(B93/B92)*(B91/B90)*B89</f>
        <v>50</v>
      </c>
      <c r="C98" s="358" t="s">
        <v>115</v>
      </c>
      <c r="D98" s="361">
        <f>D97*$B$83/100</f>
        <v>12.007140000000001</v>
      </c>
      <c r="E98" s="294"/>
      <c r="F98" s="293">
        <f>F97*$B$83/100</f>
        <v>13.64208</v>
      </c>
    </row>
    <row r="99" spans="1:10" ht="19.5" customHeight="1" x14ac:dyDescent="0.3">
      <c r="A99" s="493" t="s">
        <v>78</v>
      </c>
      <c r="B99" s="507"/>
      <c r="C99" s="358" t="s">
        <v>116</v>
      </c>
      <c r="D99" s="362">
        <f>D98/$B$98</f>
        <v>0.24014280000000002</v>
      </c>
      <c r="E99" s="294"/>
      <c r="F99" s="297">
        <f>F98/$B$98</f>
        <v>0.27284160000000002</v>
      </c>
      <c r="G99" s="363"/>
      <c r="H99" s="286"/>
    </row>
    <row r="100" spans="1:10" ht="19.5" customHeight="1" x14ac:dyDescent="0.3">
      <c r="A100" s="495"/>
      <c r="B100" s="508"/>
      <c r="C100" s="358" t="s">
        <v>80</v>
      </c>
      <c r="D100" s="364">
        <f>$B$56/$B$116</f>
        <v>0.3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15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15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89176644.39454487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1.6358372628472991E-3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1000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84657659</v>
      </c>
      <c r="E108" s="415">
        <f>IF(ISBLANK(D108),"-",D108/$D$103*$D$100*$B$116)</f>
        <v>284.79763813083787</v>
      </c>
      <c r="F108" s="381">
        <f>IF(ISBLANK(D108), "-", E108/$B$56)</f>
        <v>0.9493254604361262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76446703</v>
      </c>
      <c r="E109" s="416">
        <f>IF(ISBLANK(D109),"-",D109/$D$103*$D$100*$B$116)</f>
        <v>257.17508273279373</v>
      </c>
      <c r="F109" s="382">
        <f t="shared" ref="F109" si="1">IF(ISBLANK(D109), "-", E109/$B$56)</f>
        <v>0.85725027577597912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86613420</v>
      </c>
      <c r="E110" s="416">
        <f t="shared" ref="E110:E113" si="2">IF(ISBLANK(D110),"-",D110/$D$103*$D$100*$B$116)</f>
        <v>291.37703236554501</v>
      </c>
      <c r="F110" s="382">
        <f>IF(ISBLANK(D110), "-", E110/$B$56)</f>
        <v>0.97125677455181669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76516390</v>
      </c>
      <c r="E111" s="416">
        <f t="shared" si="2"/>
        <v>257.40951743418822</v>
      </c>
      <c r="F111" s="382">
        <f>IF(ISBLANK(D111), "-", E111/$B$56)</f>
        <v>0.85803172478062739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84835096</v>
      </c>
      <c r="E112" s="416">
        <f t="shared" si="2"/>
        <v>285.39455563498268</v>
      </c>
      <c r="F112" s="382">
        <f>IF(ISBLANK(D112), "-", E112/$B$56)</f>
        <v>0.95131518544994231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76322759</v>
      </c>
      <c r="E113" s="417">
        <f t="shared" si="2"/>
        <v>256.75812154018041</v>
      </c>
      <c r="F113" s="385">
        <f>IF(ISBLANK(D113), "-", E113/$B$56)</f>
        <v>0.85586040513393469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0.90717330435473775</v>
      </c>
    </row>
    <row r="116" spans="1:10" ht="27" customHeight="1" x14ac:dyDescent="0.4">
      <c r="A116" s="260" t="s">
        <v>103</v>
      </c>
      <c r="B116" s="292">
        <f>(B115/B114)*(B113/B112)*(B111/B110)*(B109/B108)*B107</f>
        <v>1000</v>
      </c>
      <c r="C116" s="390"/>
      <c r="D116" s="391"/>
      <c r="E116" s="352" t="s">
        <v>84</v>
      </c>
      <c r="F116" s="392">
        <f>STDEV(F108:F113)/F115</f>
        <v>6.1121359888282496E-2</v>
      </c>
      <c r="I116" s="234"/>
    </row>
    <row r="117" spans="1:10" ht="27" customHeight="1" x14ac:dyDescent="0.4">
      <c r="A117" s="493" t="s">
        <v>78</v>
      </c>
      <c r="B117" s="494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495"/>
      <c r="B118" s="496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505" t="str">
        <f>B20</f>
        <v>ATAZANAVIR, RITONAVIR</v>
      </c>
      <c r="D120" s="505"/>
      <c r="E120" s="341" t="s">
        <v>124</v>
      </c>
      <c r="F120" s="341"/>
      <c r="G120" s="342">
        <f>F115</f>
        <v>0.90717330435473775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506" t="s">
        <v>26</v>
      </c>
      <c r="C122" s="506"/>
      <c r="E122" s="347" t="s">
        <v>27</v>
      </c>
      <c r="F122" s="399"/>
      <c r="G122" s="506" t="s">
        <v>28</v>
      </c>
      <c r="H122" s="506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Atazanavir</vt:lpstr>
      <vt:lpstr>SST Ritonavir</vt:lpstr>
      <vt:lpstr>Uniformity</vt:lpstr>
      <vt:lpstr>Ritonavir</vt:lpstr>
      <vt:lpstr>Atazanavir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2015-09-30T12:44:21Z</cp:lastPrinted>
  <dcterms:created xsi:type="dcterms:W3CDTF">2005-07-05T10:19:27Z</dcterms:created>
  <dcterms:modified xsi:type="dcterms:W3CDTF">2015-09-30T12:44:48Z</dcterms:modified>
</cp:coreProperties>
</file>