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</sheets>
  <definedNames>
    <definedName name="_xlnm.Print_Area" localSheetId="4">Lamivudine!$A$1:$N$125</definedName>
    <definedName name="_xlnm.Print_Area" localSheetId="2">'Tenofovir Disoproxil Fumarate'!$A$1:$N$125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60" i="5" l="1"/>
  <c r="H60" i="5" s="1"/>
  <c r="F30" i="1"/>
  <c r="E30" i="1"/>
  <c r="D30" i="1"/>
  <c r="C30" i="1"/>
  <c r="B30" i="1"/>
  <c r="B21" i="1"/>
  <c r="B21" i="4" l="1"/>
  <c r="B45" i="5" l="1"/>
  <c r="B30" i="5" l="1"/>
  <c r="B87" i="5" l="1"/>
  <c r="D68" i="5" l="1"/>
  <c r="D64" i="5"/>
  <c r="D60" i="5"/>
  <c r="D48" i="5"/>
  <c r="G3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E41" i="5"/>
  <c r="B34" i="5"/>
  <c r="F44" i="5" s="1"/>
  <c r="F45" i="5" s="1"/>
  <c r="B34" i="3"/>
  <c r="B53" i="4"/>
  <c r="E51" i="4"/>
  <c r="D51" i="4"/>
  <c r="C51" i="4"/>
  <c r="B51" i="4"/>
  <c r="B52" i="4" s="1"/>
  <c r="B42" i="4"/>
  <c r="B41" i="4"/>
  <c r="B40" i="4"/>
  <c r="B39" i="4"/>
  <c r="B32" i="4"/>
  <c r="E30" i="4"/>
  <c r="D30" i="4"/>
  <c r="C30" i="4"/>
  <c r="B30" i="4"/>
  <c r="B31" i="4" s="1"/>
  <c r="B42" i="1"/>
  <c r="B41" i="1"/>
  <c r="B40" i="1"/>
  <c r="B39" i="1"/>
  <c r="I92" i="5" l="1"/>
  <c r="D101" i="5"/>
  <c r="D102" i="5" s="1"/>
  <c r="F46" i="5"/>
  <c r="I39" i="5"/>
  <c r="G39" i="5"/>
  <c r="G40" i="5"/>
  <c r="D49" i="5"/>
  <c r="F98" i="5"/>
  <c r="G94" i="5"/>
  <c r="D44" i="5"/>
  <c r="D45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D50" i="2" s="1"/>
  <c r="C45" i="2"/>
  <c r="B53" i="1"/>
  <c r="E51" i="1"/>
  <c r="D51" i="1"/>
  <c r="C51" i="1"/>
  <c r="B51" i="1"/>
  <c r="B52" i="1" s="1"/>
  <c r="B32" i="1"/>
  <c r="B31" i="1"/>
  <c r="D46" i="5" l="1"/>
  <c r="E38" i="5"/>
  <c r="D30" i="2"/>
  <c r="D37" i="2"/>
  <c r="D25" i="2"/>
  <c r="D38" i="2"/>
  <c r="D29" i="2"/>
  <c r="D33" i="2"/>
  <c r="D41" i="2"/>
  <c r="B49" i="2"/>
  <c r="D26" i="2"/>
  <c r="D34" i="2"/>
  <c r="D42" i="2"/>
  <c r="B57" i="3"/>
  <c r="B69" i="3" s="1"/>
  <c r="B57" i="5"/>
  <c r="E38" i="3"/>
  <c r="G38" i="3"/>
  <c r="E91" i="5"/>
  <c r="G91" i="5"/>
  <c r="G93" i="5"/>
  <c r="G92" i="5"/>
  <c r="F97" i="3"/>
  <c r="F98" i="3" s="1"/>
  <c r="F99" i="5"/>
  <c r="D99" i="5"/>
  <c r="I92" i="3"/>
  <c r="D101" i="3"/>
  <c r="E39" i="5"/>
  <c r="E92" i="5"/>
  <c r="E40" i="5"/>
  <c r="E94" i="5"/>
  <c r="E93" i="5"/>
  <c r="G42" i="5"/>
  <c r="I39" i="3"/>
  <c r="D44" i="3"/>
  <c r="F45" i="3"/>
  <c r="D49" i="3"/>
  <c r="D45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B69" i="5" l="1"/>
  <c r="G95" i="5"/>
  <c r="G91" i="3"/>
  <c r="E91" i="3"/>
  <c r="D102" i="3"/>
  <c r="G92" i="3"/>
  <c r="F99" i="3"/>
  <c r="E94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E39" i="3"/>
  <c r="E40" i="3"/>
  <c r="F46" i="3"/>
  <c r="G41" i="3"/>
  <c r="G40" i="3"/>
  <c r="D99" i="3"/>
  <c r="E92" i="3"/>
  <c r="E93" i="3"/>
  <c r="G61" i="5" l="1"/>
  <c r="H61" i="5" s="1"/>
  <c r="G42" i="3"/>
  <c r="G95" i="3"/>
  <c r="G70" i="5"/>
  <c r="H70" i="5" s="1"/>
  <c r="G66" i="5"/>
  <c r="H66" i="5" s="1"/>
  <c r="G64" i="5"/>
  <c r="H64" i="5" s="1"/>
  <c r="G67" i="5"/>
  <c r="H67" i="5" s="1"/>
  <c r="G68" i="5"/>
  <c r="H68" i="5" s="1"/>
  <c r="D51" i="5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E108" i="3"/>
  <c r="F108" i="3" s="1"/>
  <c r="H74" i="5"/>
  <c r="H72" i="5"/>
  <c r="G76" i="5" s="1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3" i="5" l="1"/>
  <c r="F116" i="5"/>
  <c r="H72" i="3"/>
  <c r="G76" i="3" s="1"/>
  <c r="H74" i="3"/>
  <c r="F115" i="3"/>
  <c r="G120" i="3" s="1"/>
  <c r="F117" i="3"/>
  <c r="H73" i="3" l="1"/>
  <c r="F116" i="3"/>
</calcChain>
</file>

<file path=xl/sharedStrings.xml><?xml version="1.0" encoding="utf-8"?>
<sst xmlns="http://schemas.openxmlformats.org/spreadsheetml/2006/main" count="440" uniqueCount="129">
  <si>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</si>
  <si>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</si>
  <si>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</si>
  <si>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</si>
  <si>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</si>
  <si>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</si>
  <si>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</si>
  <si>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NDQD201508135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</si>
  <si>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</si>
  <si>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</si>
  <si>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</si>
  <si>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</si>
  <si>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</si>
  <si>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</si>
  <si>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</si>
  <si>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</si>
  <si>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</si>
  <si>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</si>
  <si>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</si>
  <si>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</si>
  <si>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</si>
  <si>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</si>
  <si>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</si>
  <si>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</si>
  <si>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</si>
  <si>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</si>
  <si>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</si>
  <si>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</si>
  <si>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</si>
  <si>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</si>
  <si>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</si>
  <si>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</si>
  <si>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</si>
  <si>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</si>
  <si>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</si>
  <si>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</si>
  <si>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</si>
  <si>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</si>
  <si>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</si>
  <si>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</si>
  <si>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</si>
  <si>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</si>
  <si>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</si>
  <si>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</si>
  <si>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</si>
  <si>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</si>
  <si>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</si>
  <si>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</si>
  <si>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</si>
  <si>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</si>
  <si>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</si>
  <si>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</si>
  <si>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</si>
  <si>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</si>
  <si>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</si>
  <si>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</si>
  <si>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</si>
  <si>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</si>
  <si>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</si>
  <si>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</si>
  <si>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</si>
  <si>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</si>
  <si>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</si>
  <si>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</si>
  <si>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</si>
  <si>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</si>
  <si>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</si>
  <si>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</si>
  <si>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</si>
  <si>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</si>
  <si>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</si>
  <si>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</si>
  <si>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</si>
  <si>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</si>
  <si>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</si>
  <si>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</si>
  <si>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</si>
  <si>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</si>
  <si>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</si>
  <si>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</si>
  <si>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</si>
  <si>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</si>
  <si>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</si>
  <si>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</si>
  <si>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</si>
  <si>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</si>
  <si>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</si>
  <si>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</si>
  <si>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</si>
  <si>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</si>
  <si>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</si>
  <si>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</si>
  <si>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</si>
  <si>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</si>
  <si>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</si>
  <si>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</si>
  <si>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</si>
  <si>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</si>
  <si>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</si>
  <si>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</si>
  <si>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</si>
  <si>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</si>
  <si>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</si>
  <si>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</si>
  <si>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</si>
  <si>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</si>
  <si>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</si>
  <si>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</si>
  <si>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</si>
  <si>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</si>
  <si>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</si>
  <si>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</si>
  <si>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</si>
  <si>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</si>
  <si>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</si>
  <si>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</si>
  <si>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</si>
  <si>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</si>
  <si>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</si>
  <si>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</si>
  <si>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</si>
  <si>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</si>
  <si>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</si>
  <si>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</si>
  <si>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</si>
  <si>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</si>
  <si>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</si>
  <si>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</si>
  <si>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NDQD201508150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</si>
</sst>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6" fillId="2" borderId="7" xfId="0" applyNumberFormat="1" applyFont="1" applyFill="1" applyBorder="1"/>
    <xf numFmtId="14" fontId="2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3" fontId="2" fillId="2" borderId="0" xfId="0" applyNumberFormat="1" applyFont="1" applyFill="1"/>
    <xf numFmtId="173" fontId="5" fillId="4" borderId="1" xfId="0" applyNumberFormat="1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166" fontId="11" fillId="2" borderId="61" xfId="0" applyNumberFormat="1" applyFont="1" applyFill="1" applyBorder="1" applyAlignment="1">
      <alignment horizontal="center"/>
    </xf>
    <xf numFmtId="10" fontId="11" fillId="2" borderId="62" xfId="0" applyNumberFormat="1" applyFont="1" applyFill="1" applyBorder="1" applyAlignment="1">
      <alignment horizontal="center" vertical="center"/>
    </xf>
    <xf numFmtId="166" fontId="11" fillId="2" borderId="63" xfId="0" applyNumberFormat="1" applyFont="1" applyFill="1" applyBorder="1" applyAlignment="1">
      <alignment horizontal="center"/>
    </xf>
    <xf numFmtId="10" fontId="11" fillId="2" borderId="64" xfId="0" applyNumberFormat="1" applyFont="1" applyFill="1" applyBorder="1" applyAlignment="1">
      <alignment horizontal="center" vertical="center"/>
    </xf>
    <xf numFmtId="166" fontId="11" fillId="2" borderId="65" xfId="0" applyNumberFormat="1" applyFont="1" applyFill="1" applyBorder="1" applyAlignment="1">
      <alignment horizontal="center"/>
    </xf>
    <xf numFmtId="10" fontId="11" fillId="2" borderId="6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3" zoomScale="115" zoomScaleNormal="100" zoomScaleSheetLayoutView="115" workbookViewId="0">
      <selection activeCell="B19" sqref="B19:F30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92" t="s">
        <v>0</v>
      </c>
      <c r="B15" s="292"/>
      <c r="C15" s="292"/>
      <c r="D15" s="292"/>
      <c r="E15" s="292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124</v>
      </c>
      <c r="C18" s="10"/>
      <c r="D18" s="10"/>
      <c r="E18" s="10"/>
    </row>
    <row r="19" spans="1:6" ht="16.5" customHeight="1">
      <c r="A19" s="11" t="s">
        <v>6</v>
      </c>
      <c r="B19" s="12">
        <v>99.2</v>
      </c>
      <c r="C19" s="72"/>
      <c r="D19" s="72"/>
      <c r="E19" s="72"/>
      <c r="F19" s="227"/>
    </row>
    <row r="20" spans="1:6" ht="16.5" customHeight="1">
      <c r="A20" s="7" t="s">
        <v>8</v>
      </c>
      <c r="B20" s="9">
        <v>12.45</v>
      </c>
      <c r="C20" s="72"/>
      <c r="D20" s="72"/>
      <c r="E20" s="72"/>
      <c r="F20" s="227"/>
    </row>
    <row r="21" spans="1:6" ht="16.5" customHeight="1">
      <c r="A21" s="7" t="s">
        <v>10</v>
      </c>
      <c r="B21" s="13">
        <f>B20/10*1/25</f>
        <v>4.9799999999999997E-2</v>
      </c>
      <c r="C21" s="72"/>
      <c r="D21" s="72"/>
      <c r="E21" s="72"/>
      <c r="F21" s="227"/>
    </row>
    <row r="22" spans="1:6" ht="15.75" customHeight="1">
      <c r="A22" s="10"/>
      <c r="B22" s="72"/>
      <c r="C22" s="72"/>
      <c r="D22" s="72"/>
      <c r="E22" s="72"/>
      <c r="F22" s="227"/>
    </row>
    <row r="23" spans="1:6" ht="16.5" customHeight="1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  <c r="F23" s="227"/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341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341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341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341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341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341">
        <v>27.911020000000001</v>
      </c>
    </row>
    <row r="30" spans="1:6" ht="16.5" customHeight="1">
      <c r="A30" s="23" t="s">
        <v>17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342">
        <f>AVERAGE(E24:E29)</f>
        <v>7.9731666666666667</v>
      </c>
      <c r="F30" s="342">
        <f>AVERAGE(F24:F29)</f>
        <v>28.084008333333333</v>
      </c>
    </row>
    <row r="31" spans="1:6" ht="16.5" customHeight="1">
      <c r="A31" s="27" t="s">
        <v>18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10"/>
      <c r="D40" s="10"/>
      <c r="E40" s="10"/>
    </row>
    <row r="41" spans="1:6" ht="16.5" customHeight="1">
      <c r="A41" s="7" t="s">
        <v>8</v>
      </c>
      <c r="B41" s="12">
        <f>B20</f>
        <v>12.45</v>
      </c>
      <c r="C41" s="10"/>
      <c r="D41" s="10"/>
      <c r="E41" s="10"/>
    </row>
    <row r="42" spans="1:6" ht="16.5" customHeight="1">
      <c r="A42" s="7" t="s">
        <v>10</v>
      </c>
      <c r="B42" s="13">
        <f>B21</f>
        <v>4.9799999999999997E-2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33274735</v>
      </c>
      <c r="C45" s="18">
        <v>94567.2</v>
      </c>
      <c r="D45" s="19">
        <v>1.1000000000000001</v>
      </c>
      <c r="E45" s="20">
        <v>7.9</v>
      </c>
    </row>
    <row r="46" spans="1:6" ht="16.5" customHeight="1">
      <c r="A46" s="17">
        <v>2</v>
      </c>
      <c r="B46" s="18">
        <v>33192610</v>
      </c>
      <c r="C46" s="18">
        <v>95216.1</v>
      </c>
      <c r="D46" s="19">
        <v>1</v>
      </c>
      <c r="E46" s="19">
        <v>7.9</v>
      </c>
    </row>
    <row r="47" spans="1:6" ht="16.5" customHeight="1">
      <c r="A47" s="17">
        <v>3</v>
      </c>
      <c r="B47" s="18">
        <v>33348917</v>
      </c>
      <c r="C47" s="18">
        <v>95409.4</v>
      </c>
      <c r="D47" s="19">
        <v>1.1000000000000001</v>
      </c>
      <c r="E47" s="19">
        <v>7.9</v>
      </c>
    </row>
    <row r="48" spans="1:6" ht="16.5" customHeight="1">
      <c r="A48" s="17">
        <v>4</v>
      </c>
      <c r="B48" s="18">
        <v>33318901</v>
      </c>
      <c r="C48" s="18">
        <v>95184.3</v>
      </c>
      <c r="D48" s="19">
        <v>1.1000000000000001</v>
      </c>
      <c r="E48" s="19">
        <v>7.9</v>
      </c>
    </row>
    <row r="49" spans="1:7" ht="16.5" customHeight="1">
      <c r="A49" s="17">
        <v>5</v>
      </c>
      <c r="B49" s="18">
        <v>33353310</v>
      </c>
      <c r="C49" s="18">
        <v>95361.5</v>
      </c>
      <c r="D49" s="19">
        <v>1.1000000000000001</v>
      </c>
      <c r="E49" s="19">
        <v>7.9</v>
      </c>
    </row>
    <row r="50" spans="1:7" ht="16.5" customHeight="1">
      <c r="A50" s="17">
        <v>6</v>
      </c>
      <c r="B50" s="21">
        <v>33294673</v>
      </c>
      <c r="C50" s="21">
        <v>96181</v>
      </c>
      <c r="D50" s="22">
        <v>1.1000000000000001</v>
      </c>
      <c r="E50" s="22">
        <v>7.9</v>
      </c>
    </row>
    <row r="51" spans="1:7" ht="16.5" customHeight="1">
      <c r="A51" s="23" t="s">
        <v>17</v>
      </c>
      <c r="B51" s="24">
        <f>AVERAGE(B45:B50)</f>
        <v>33297191</v>
      </c>
      <c r="C51" s="25">
        <f>AVERAGE(C45:C50)</f>
        <v>95319.916666666672</v>
      </c>
      <c r="D51" s="26">
        <f>AVERAGE(D45:D50)</f>
        <v>1.0833333333333333</v>
      </c>
      <c r="E51" s="26">
        <f>AVERAGE(E45:E50)</f>
        <v>7.8999999999999995</v>
      </c>
    </row>
    <row r="52" spans="1:7" ht="16.5" customHeight="1">
      <c r="A52" s="27" t="s">
        <v>18</v>
      </c>
      <c r="B52" s="28">
        <f>(STDEV(B45:B50)/B51)</f>
        <v>1.7890961990938022E-3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3" t="s">
        <v>25</v>
      </c>
      <c r="C59" s="293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290">
        <v>42298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21" sqref="C21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7" t="s">
        <v>30</v>
      </c>
      <c r="B11" s="298"/>
      <c r="C11" s="298"/>
      <c r="D11" s="298"/>
      <c r="E11" s="298"/>
      <c r="F11" s="299"/>
      <c r="G11" s="91"/>
    </row>
    <row r="12" spans="1:7" ht="16.5" customHeight="1">
      <c r="A12" s="296" t="s">
        <v>31</v>
      </c>
      <c r="B12" s="296"/>
      <c r="C12" s="296"/>
      <c r="D12" s="296"/>
      <c r="E12" s="296"/>
      <c r="F12" s="296"/>
      <c r="G12" s="90"/>
    </row>
    <row r="14" spans="1:7" ht="16.5" customHeight="1">
      <c r="A14" s="301" t="s">
        <v>32</v>
      </c>
      <c r="B14" s="301"/>
      <c r="C14" s="60" t="s">
        <v>5</v>
      </c>
    </row>
    <row r="15" spans="1:7" ht="16.5" customHeight="1">
      <c r="A15" s="301" t="s">
        <v>33</v>
      </c>
      <c r="B15" s="301"/>
      <c r="C15" s="60" t="s">
        <v>128</v>
      </c>
    </row>
    <row r="16" spans="1:7" ht="16.5" customHeight="1">
      <c r="A16" s="301" t="s">
        <v>34</v>
      </c>
      <c r="B16" s="301"/>
      <c r="C16" s="60" t="s">
        <v>9</v>
      </c>
    </row>
    <row r="17" spans="1:5" ht="16.5" customHeight="1">
      <c r="A17" s="301" t="s">
        <v>35</v>
      </c>
      <c r="B17" s="301"/>
      <c r="C17" s="60" t="s">
        <v>11</v>
      </c>
    </row>
    <row r="18" spans="1:5" ht="16.5" customHeight="1">
      <c r="A18" s="301" t="s">
        <v>36</v>
      </c>
      <c r="B18" s="301"/>
      <c r="C18" s="97">
        <v>42259</v>
      </c>
    </row>
    <row r="19" spans="1:5" ht="16.5" customHeight="1">
      <c r="A19" s="301" t="s">
        <v>37</v>
      </c>
      <c r="B19" s="301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296" t="s">
        <v>1</v>
      </c>
      <c r="B21" s="296"/>
      <c r="C21" s="59" t="s">
        <v>38</v>
      </c>
      <c r="D21" s="66"/>
    </row>
    <row r="22" spans="1:5" ht="15.75" customHeight="1">
      <c r="A22" s="300"/>
      <c r="B22" s="300"/>
      <c r="C22" s="57"/>
      <c r="D22" s="300"/>
      <c r="E22" s="300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1195.07</v>
      </c>
      <c r="D24" s="87">
        <f t="shared" ref="D24:D43" si="0">(C24-$C$46)/$C$46</f>
        <v>-7.7152882605065112E-3</v>
      </c>
      <c r="E24" s="53"/>
    </row>
    <row r="25" spans="1:5" ht="15.75" customHeight="1">
      <c r="C25" s="95">
        <v>1182.52</v>
      </c>
      <c r="D25" s="88">
        <f t="shared" si="0"/>
        <v>-1.8135743239989385E-2</v>
      </c>
      <c r="E25" s="53"/>
    </row>
    <row r="26" spans="1:5" ht="15.75" customHeight="1">
      <c r="C26" s="95">
        <v>1219.67</v>
      </c>
      <c r="D26" s="88">
        <f t="shared" si="0"/>
        <v>1.2710464129555725E-2</v>
      </c>
      <c r="E26" s="53"/>
    </row>
    <row r="27" spans="1:5" ht="15.75" customHeight="1">
      <c r="C27" s="95">
        <v>1190.8399999999999</v>
      </c>
      <c r="D27" s="88">
        <f t="shared" si="0"/>
        <v>-1.1227521293431842E-2</v>
      </c>
      <c r="E27" s="53"/>
    </row>
    <row r="28" spans="1:5" ht="15.75" customHeight="1">
      <c r="C28" s="95">
        <v>1203.45</v>
      </c>
      <c r="D28" s="88">
        <f t="shared" si="0"/>
        <v>-7.5724740568038052E-4</v>
      </c>
      <c r="E28" s="53"/>
    </row>
    <row r="29" spans="1:5" ht="15.75" customHeight="1">
      <c r="C29" s="95">
        <v>1204.02</v>
      </c>
      <c r="D29" s="88">
        <f t="shared" si="0"/>
        <v>-2.8396777713021352E-4</v>
      </c>
      <c r="E29" s="53"/>
    </row>
    <row r="30" spans="1:5" ht="15.75" customHeight="1">
      <c r="C30" s="95">
        <v>1208.71</v>
      </c>
      <c r="D30" s="88">
        <f t="shared" si="0"/>
        <v>3.6102102191865534E-3</v>
      </c>
      <c r="E30" s="53"/>
    </row>
    <row r="31" spans="1:5" ht="15.75" customHeight="1">
      <c r="C31" s="95">
        <v>1232.8599999999999</v>
      </c>
      <c r="D31" s="88">
        <f t="shared" si="0"/>
        <v>2.3662320797235233E-2</v>
      </c>
      <c r="E31" s="53"/>
    </row>
    <row r="32" spans="1:5" ht="15.75" customHeight="1">
      <c r="C32" s="95">
        <v>1203.28</v>
      </c>
      <c r="D32" s="88">
        <f t="shared" si="0"/>
        <v>-8.9840097910769958E-4</v>
      </c>
      <c r="E32" s="53"/>
    </row>
    <row r="33" spans="1:7" ht="15.75" customHeight="1">
      <c r="C33" s="95">
        <v>1189.1199999999999</v>
      </c>
      <c r="D33" s="88">
        <f t="shared" si="0"/>
        <v>-1.2655663330460599E-2</v>
      </c>
      <c r="E33" s="53"/>
    </row>
    <row r="34" spans="1:7" ht="15.75" customHeight="1">
      <c r="C34" s="95">
        <v>1189.3699999999999</v>
      </c>
      <c r="D34" s="88">
        <f t="shared" si="0"/>
        <v>-1.2448084546008749E-2</v>
      </c>
      <c r="E34" s="53"/>
    </row>
    <row r="35" spans="1:7" ht="15.75" customHeight="1">
      <c r="C35" s="95">
        <v>1216.31</v>
      </c>
      <c r="D35" s="88">
        <f t="shared" si="0"/>
        <v>9.9206052665227439E-3</v>
      </c>
      <c r="E35" s="53"/>
    </row>
    <row r="36" spans="1:7" ht="15.75" customHeight="1">
      <c r="C36" s="95">
        <v>1212.45</v>
      </c>
      <c r="D36" s="88">
        <f t="shared" si="0"/>
        <v>6.7155888345862497E-3</v>
      </c>
      <c r="E36" s="53"/>
    </row>
    <row r="37" spans="1:7" ht="15.75" customHeight="1">
      <c r="C37" s="95">
        <v>1208.8399999999999</v>
      </c>
      <c r="D37" s="88">
        <f t="shared" si="0"/>
        <v>3.718151187101418E-3</v>
      </c>
      <c r="E37" s="53"/>
    </row>
    <row r="38" spans="1:7" ht="15.75" customHeight="1">
      <c r="C38" s="95">
        <v>1218.42</v>
      </c>
      <c r="D38" s="88">
        <f t="shared" si="0"/>
        <v>1.167257020729647E-2</v>
      </c>
      <c r="E38" s="53"/>
    </row>
    <row r="39" spans="1:7" ht="15.75" customHeight="1">
      <c r="C39" s="95">
        <v>1208.95</v>
      </c>
      <c r="D39" s="88">
        <f t="shared" si="0"/>
        <v>3.8094858522603379E-3</v>
      </c>
      <c r="E39" s="53"/>
    </row>
    <row r="40" spans="1:7" ht="15.75" customHeight="1">
      <c r="C40" s="95">
        <v>1209.5899999999999</v>
      </c>
      <c r="D40" s="88">
        <f t="shared" si="0"/>
        <v>4.3408875404569707E-3</v>
      </c>
      <c r="E40" s="53"/>
    </row>
    <row r="41" spans="1:7" ht="15.75" customHeight="1">
      <c r="C41" s="95">
        <v>1195.03</v>
      </c>
      <c r="D41" s="88">
        <f t="shared" si="0"/>
        <v>-7.7485008660187777E-3</v>
      </c>
      <c r="E41" s="53"/>
    </row>
    <row r="42" spans="1:7" ht="15.75" customHeight="1">
      <c r="C42" s="95">
        <v>1199.83</v>
      </c>
      <c r="D42" s="88">
        <f t="shared" si="0"/>
        <v>-3.7629882045432791E-3</v>
      </c>
      <c r="E42" s="53"/>
    </row>
    <row r="43" spans="1:7" ht="16.5" customHeight="1">
      <c r="C43" s="96">
        <v>1198.9100000000001</v>
      </c>
      <c r="D43" s="89">
        <f t="shared" si="0"/>
        <v>-4.5268781313259621E-3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24087.24</v>
      </c>
      <c r="D45" s="78"/>
      <c r="E45" s="54"/>
    </row>
    <row r="46" spans="1:7" ht="17.25" customHeight="1">
      <c r="B46" s="82" t="s">
        <v>42</v>
      </c>
      <c r="C46" s="84">
        <f>AVERAGE(C24:C44)</f>
        <v>1204.3620000000001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294">
        <f>C46</f>
        <v>1204.3620000000001</v>
      </c>
      <c r="C49" s="93">
        <f>-IF(C46&lt;=80,10%,IF(C46&lt;250,7.5%,5%))</f>
        <v>-0.05</v>
      </c>
      <c r="D49" s="81">
        <f>IF(C46&lt;=80,C46*0.9,IF(C46&lt;250,C46*0.925,C46*0.95))</f>
        <v>1144.1439</v>
      </c>
    </row>
    <row r="50" spans="1:6" ht="17.25" customHeight="1">
      <c r="B50" s="295"/>
      <c r="C50" s="94">
        <f>IF(C46&lt;=80, 10%, IF(C46&lt;250, 7.5%, 5%))</f>
        <v>0.05</v>
      </c>
      <c r="D50" s="81">
        <f>IF(C46&lt;=80, C46*1.1, IF(C46&lt;250, C46*1.075, C46*1.05))</f>
        <v>1264.5801000000001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289">
        <v>42298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5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02" t="s">
        <v>44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>
      <c r="A7" s="302"/>
      <c r="B7" s="302"/>
      <c r="C7" s="302"/>
      <c r="D7" s="302"/>
      <c r="E7" s="302"/>
      <c r="F7" s="302"/>
      <c r="G7" s="302"/>
      <c r="H7" s="302"/>
      <c r="I7" s="302"/>
    </row>
    <row r="8" spans="1:9">
      <c r="A8" s="303" t="s">
        <v>45</v>
      </c>
      <c r="B8" s="303"/>
      <c r="C8" s="303"/>
      <c r="D8" s="303"/>
      <c r="E8" s="303"/>
      <c r="F8" s="303"/>
      <c r="G8" s="303"/>
      <c r="H8" s="303"/>
      <c r="I8" s="303"/>
    </row>
    <row r="9" spans="1:9">
      <c r="A9" s="303"/>
      <c r="B9" s="303"/>
      <c r="C9" s="303"/>
      <c r="D9" s="303"/>
      <c r="E9" s="303"/>
      <c r="F9" s="303"/>
      <c r="G9" s="303"/>
      <c r="H9" s="303"/>
      <c r="I9" s="303"/>
    </row>
    <row r="10" spans="1:9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>
      <c r="A15" s="98"/>
    </row>
    <row r="16" spans="1:9" ht="19.5" customHeight="1">
      <c r="A16" s="336" t="s">
        <v>30</v>
      </c>
      <c r="B16" s="337"/>
      <c r="C16" s="337"/>
      <c r="D16" s="337"/>
      <c r="E16" s="337"/>
      <c r="F16" s="337"/>
      <c r="G16" s="337"/>
      <c r="H16" s="338"/>
    </row>
    <row r="17" spans="1:14" ht="20.25" customHeight="1">
      <c r="A17" s="339" t="s">
        <v>46</v>
      </c>
      <c r="B17" s="339"/>
      <c r="C17" s="339"/>
      <c r="D17" s="339"/>
      <c r="E17" s="339"/>
      <c r="F17" s="339"/>
      <c r="G17" s="339"/>
      <c r="H17" s="339"/>
    </row>
    <row r="18" spans="1:14" ht="26.25" customHeight="1">
      <c r="A18" s="100" t="s">
        <v>32</v>
      </c>
      <c r="B18" s="335" t="s">
        <v>5</v>
      </c>
      <c r="C18" s="335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128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40" t="s">
        <v>124</v>
      </c>
      <c r="C20" s="340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40" t="s">
        <v>11</v>
      </c>
      <c r="C21" s="340"/>
      <c r="D21" s="340"/>
      <c r="E21" s="340"/>
      <c r="F21" s="340"/>
      <c r="G21" s="340"/>
      <c r="H21" s="340"/>
      <c r="I21" s="104"/>
    </row>
    <row r="22" spans="1:14" ht="26.25" customHeight="1">
      <c r="A22" s="100" t="s">
        <v>36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35" t="s">
        <v>124</v>
      </c>
      <c r="C26" s="335"/>
    </row>
    <row r="27" spans="1:14" ht="26.25" customHeight="1">
      <c r="A27" s="109" t="s">
        <v>47</v>
      </c>
      <c r="B27" s="333" t="s">
        <v>127</v>
      </c>
      <c r="C27" s="333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48</v>
      </c>
      <c r="B29" s="111">
        <v>0</v>
      </c>
      <c r="C29" s="310" t="s">
        <v>49</v>
      </c>
      <c r="D29" s="311"/>
      <c r="E29" s="311"/>
      <c r="F29" s="311"/>
      <c r="G29" s="312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313" t="s">
        <v>52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313" t="s">
        <v>54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316" t="s">
        <v>58</v>
      </c>
      <c r="E36" s="334"/>
      <c r="F36" s="316" t="s">
        <v>59</v>
      </c>
      <c r="G36" s="317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318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318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304" t="s">
        <v>77</v>
      </c>
      <c r="B46" s="305"/>
      <c r="C46" s="153" t="s">
        <v>78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306"/>
      <c r="B47" s="307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40572897.286690861</v>
      </c>
      <c r="F50" s="170"/>
      <c r="H50" s="150"/>
    </row>
    <row r="51" spans="1:12" ht="18.75">
      <c r="C51" s="124" t="s">
        <v>83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87</v>
      </c>
      <c r="B57" s="271">
        <f>Uniformity!C46</f>
        <v>1204.3620000000001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321" t="s">
        <v>93</v>
      </c>
      <c r="D60" s="324">
        <v>1189.8800000000001</v>
      </c>
      <c r="E60" s="182">
        <v>1</v>
      </c>
      <c r="F60" s="183">
        <v>38778181</v>
      </c>
      <c r="G60" s="273">
        <f>IF(ISBLANK(F60),"-",(F60/$D$50*$D$47*$B$68)*($B$57/$D$60))</f>
        <v>290.21947091567381</v>
      </c>
      <c r="H60" s="184">
        <f>IF(ISBLANK(F60),"-",G60/$B$56)</f>
        <v>0.96739823638557931</v>
      </c>
      <c r="L60" s="112"/>
    </row>
    <row r="61" spans="1:12" s="14" customFormat="1" ht="26.25" customHeight="1">
      <c r="A61" s="124" t="s">
        <v>94</v>
      </c>
      <c r="B61" s="125">
        <v>250</v>
      </c>
      <c r="C61" s="322"/>
      <c r="D61" s="325"/>
      <c r="E61" s="185">
        <v>2</v>
      </c>
      <c r="F61" s="137">
        <v>38702877</v>
      </c>
      <c r="G61" s="274">
        <f>IF(ISBLANK(F61),"-",(F61/$D$50*$D$47*$B$68)*($B$57/$D$60))</f>
        <v>289.65588885807722</v>
      </c>
      <c r="H61" s="186">
        <f t="shared" ref="H61:H71" si="0">IF(ISBLANK(F61),"-",G61/$B$56)</f>
        <v>0.96551962952692405</v>
      </c>
      <c r="L61" s="112"/>
    </row>
    <row r="62" spans="1:12" s="14" customFormat="1" ht="26.25" customHeight="1">
      <c r="A62" s="124" t="s">
        <v>95</v>
      </c>
      <c r="B62" s="125">
        <v>1</v>
      </c>
      <c r="C62" s="322"/>
      <c r="D62" s="325"/>
      <c r="E62" s="185">
        <v>3</v>
      </c>
      <c r="F62" s="187">
        <v>39100662</v>
      </c>
      <c r="G62" s="274">
        <f>IF(ISBLANK(F62),"-",(F62/$D$50*$D$47*$B$68)*($B$57/$D$60))</f>
        <v>292.63294836064108</v>
      </c>
      <c r="H62" s="186">
        <f t="shared" si="0"/>
        <v>0.97544316120213692</v>
      </c>
      <c r="L62" s="112"/>
    </row>
    <row r="63" spans="1:12" ht="27" customHeight="1">
      <c r="A63" s="124" t="s">
        <v>96</v>
      </c>
      <c r="B63" s="125">
        <v>1</v>
      </c>
      <c r="C63" s="332"/>
      <c r="D63" s="326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321" t="s">
        <v>98</v>
      </c>
      <c r="D64" s="324">
        <v>1206.5899999999999</v>
      </c>
      <c r="E64" s="182">
        <v>1</v>
      </c>
      <c r="F64" s="183">
        <v>40506951</v>
      </c>
      <c r="G64" s="275">
        <f>IF(ISBLANK(F64),"-",(F64/$D$50*$D$47*$B$68)*($B$57/$D$64))</f>
        <v>298.95932920146157</v>
      </c>
      <c r="H64" s="190">
        <f>IF(ISBLANK(F64),"-",G64/$B$56)</f>
        <v>0.99653109733820522</v>
      </c>
    </row>
    <row r="65" spans="1:8" ht="26.25" customHeight="1">
      <c r="A65" s="124" t="s">
        <v>99</v>
      </c>
      <c r="B65" s="125">
        <v>1</v>
      </c>
      <c r="C65" s="322"/>
      <c r="D65" s="325"/>
      <c r="E65" s="185">
        <v>2</v>
      </c>
      <c r="F65" s="137">
        <v>40986105</v>
      </c>
      <c r="G65" s="276">
        <f>IF(ISBLANK(F65),"-",(F65/$D$50*$D$47*$B$68)*($B$57/$D$64))</f>
        <v>302.49569900683639</v>
      </c>
      <c r="H65" s="191">
        <f t="shared" si="0"/>
        <v>1.0083189966894546</v>
      </c>
    </row>
    <row r="66" spans="1:8" ht="26.25" customHeight="1">
      <c r="A66" s="124" t="s">
        <v>100</v>
      </c>
      <c r="B66" s="125">
        <v>1</v>
      </c>
      <c r="C66" s="322"/>
      <c r="D66" s="325"/>
      <c r="E66" s="185">
        <v>3</v>
      </c>
      <c r="F66" s="137">
        <v>40119317</v>
      </c>
      <c r="G66" s="276">
        <f>IF(ISBLANK(F66),"-",(F66/$D$50*$D$47*$B$68)*($B$57/$D$64))</f>
        <v>296.09841773429935</v>
      </c>
      <c r="H66" s="191">
        <f t="shared" si="0"/>
        <v>0.98699472578099778</v>
      </c>
    </row>
    <row r="67" spans="1:8" ht="27" customHeight="1">
      <c r="A67" s="124" t="s">
        <v>101</v>
      </c>
      <c r="B67" s="125">
        <v>1</v>
      </c>
      <c r="C67" s="332"/>
      <c r="D67" s="326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21" t="s">
        <v>103</v>
      </c>
      <c r="D68" s="324">
        <v>1218.79</v>
      </c>
      <c r="E68" s="182">
        <v>1</v>
      </c>
      <c r="F68" s="183">
        <v>39892469</v>
      </c>
      <c r="G68" s="275">
        <f>IF(ISBLANK(F68),"-",(F68/$D$50*$D$47*$B$68)*($B$57/$D$68))</f>
        <v>291.47701372477883</v>
      </c>
      <c r="H68" s="186">
        <f>IF(ISBLANK(F68),"-",G68/$B$56)</f>
        <v>0.97159004574926278</v>
      </c>
    </row>
    <row r="69" spans="1:8" ht="27" customHeight="1">
      <c r="A69" s="172" t="s">
        <v>104</v>
      </c>
      <c r="B69" s="194">
        <f>(D47*B68)/B56*B57</f>
        <v>1204.3620000000001</v>
      </c>
      <c r="C69" s="322"/>
      <c r="D69" s="325"/>
      <c r="E69" s="185">
        <v>2</v>
      </c>
      <c r="F69" s="137">
        <v>40550953</v>
      </c>
      <c r="G69" s="276">
        <f>IF(ISBLANK(F69),"-",(F69/$D$50*$D$47*$B$68)*($B$57/$D$68))</f>
        <v>296.28827145629566</v>
      </c>
      <c r="H69" s="186">
        <f>IF(ISBLANK(F69),"-",G69/$B$56)</f>
        <v>0.98762757152098557</v>
      </c>
    </row>
    <row r="70" spans="1:8" ht="26.25" customHeight="1">
      <c r="A70" s="327" t="s">
        <v>77</v>
      </c>
      <c r="B70" s="328"/>
      <c r="C70" s="322"/>
      <c r="D70" s="325"/>
      <c r="E70" s="185">
        <v>3</v>
      </c>
      <c r="F70" s="137">
        <v>40469707</v>
      </c>
      <c r="G70" s="276">
        <f>IF(ISBLANK(F70),"-",(F70/$D$50*$D$47*$B$68)*($B$57/$D$68))</f>
        <v>295.69464208085935</v>
      </c>
      <c r="H70" s="186">
        <f t="shared" si="0"/>
        <v>0.98564880693619783</v>
      </c>
    </row>
    <row r="71" spans="1:8" ht="27" customHeight="1">
      <c r="A71" s="329"/>
      <c r="B71" s="330"/>
      <c r="C71" s="323"/>
      <c r="D71" s="326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0.98278580790330494</v>
      </c>
    </row>
    <row r="73" spans="1:8" ht="26.25" customHeight="1">
      <c r="C73" s="196"/>
      <c r="D73" s="196"/>
      <c r="E73" s="196"/>
      <c r="F73" s="197"/>
      <c r="G73" s="200" t="s">
        <v>83</v>
      </c>
      <c r="H73" s="278">
        <f>STDEV(H60:H71)/H72</f>
        <v>1.4409568072650447E-2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9</v>
      </c>
    </row>
    <row r="76" spans="1:8" ht="26.25" customHeight="1">
      <c r="A76" s="108" t="s">
        <v>105</v>
      </c>
      <c r="B76" s="204" t="s">
        <v>106</v>
      </c>
      <c r="C76" s="308" t="str">
        <f>B20</f>
        <v>Tenofovir Disoproxil Fumarate</v>
      </c>
      <c r="D76" s="308"/>
      <c r="E76" s="205" t="s">
        <v>107</v>
      </c>
      <c r="F76" s="205"/>
      <c r="G76" s="206">
        <f>H72</f>
        <v>0.98278580790330494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331" t="str">
        <f>B26</f>
        <v>Tenofovir Disoproxil Fumarate</v>
      </c>
      <c r="C79" s="331"/>
    </row>
    <row r="80" spans="1:8" ht="26.25" customHeight="1">
      <c r="A80" s="109" t="s">
        <v>47</v>
      </c>
      <c r="B80" s="331" t="str">
        <f>B27</f>
        <v>T11 5</v>
      </c>
      <c r="C80" s="331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48</v>
      </c>
      <c r="B82" s="111">
        <v>0</v>
      </c>
      <c r="C82" s="310" t="s">
        <v>49</v>
      </c>
      <c r="D82" s="311"/>
      <c r="E82" s="311"/>
      <c r="F82" s="311"/>
      <c r="G82" s="312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313" t="s">
        <v>110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313" t="s">
        <v>111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316" t="s">
        <v>59</v>
      </c>
      <c r="G89" s="317"/>
    </row>
    <row r="90" spans="1:12" ht="27" customHeight="1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80857722</v>
      </c>
      <c r="E91" s="133">
        <f>IF(ISBLANK(D91),"-",$D$101/$D$98*D91)</f>
        <v>98204578.799067229</v>
      </c>
      <c r="F91" s="132">
        <v>87143546</v>
      </c>
      <c r="G91" s="134">
        <f>IF(ISBLANK(F91),"-",$D$101/$F$98*F91)</f>
        <v>99523772.506334662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137">
        <v>80972268</v>
      </c>
      <c r="E92" s="138">
        <f>IF(ISBLANK(D92),"-",$D$101/$D$98*D92)</f>
        <v>98343698.989506409</v>
      </c>
      <c r="F92" s="137">
        <v>86733792</v>
      </c>
      <c r="G92" s="139">
        <f>IF(ISBLANK(F92),"-",$D$101/$F$98*F92)</f>
        <v>99055805.964330956</v>
      </c>
      <c r="I92" s="318">
        <f>ABS((F96/D96*D95)-F95)/D95</f>
        <v>9.8534433326954302E-3</v>
      </c>
    </row>
    <row r="93" spans="1:12" ht="26.25" customHeight="1">
      <c r="A93" s="124" t="s">
        <v>67</v>
      </c>
      <c r="B93" s="125">
        <v>1</v>
      </c>
      <c r="C93" s="197">
        <v>3</v>
      </c>
      <c r="D93" s="137">
        <v>81071509</v>
      </c>
      <c r="E93" s="138">
        <f>IF(ISBLANK(D93),"-",$D$101/$D$98*D93)</f>
        <v>98464230.713175282</v>
      </c>
      <c r="F93" s="137">
        <v>86830604</v>
      </c>
      <c r="G93" s="139">
        <f>IF(ISBLANK(F93),"-",$D$101/$F$98*F93)</f>
        <v>99166371.759575084</v>
      </c>
      <c r="I93" s="318"/>
    </row>
    <row r="94" spans="1:12" ht="27" customHeigh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6" t="s">
        <v>70</v>
      </c>
      <c r="D95" s="217">
        <f>AVERAGE(D91:D94)</f>
        <v>80967166.333333328</v>
      </c>
      <c r="E95" s="148">
        <f>AVERAGE(E91:E94)</f>
        <v>98337502.833916306</v>
      </c>
      <c r="F95" s="218">
        <f>AVERAGE(F91:F94)</f>
        <v>86902647.333333328</v>
      </c>
      <c r="G95" s="219">
        <f>AVERAGE(G91:G94)</f>
        <v>99248650.076746896</v>
      </c>
    </row>
    <row r="96" spans="1:12" ht="26.25" customHeight="1">
      <c r="A96" s="124" t="s">
        <v>71</v>
      </c>
      <c r="B96" s="110">
        <v>1</v>
      </c>
      <c r="C96" s="220" t="s">
        <v>112</v>
      </c>
      <c r="D96" s="221">
        <v>12.45</v>
      </c>
      <c r="E96" s="140"/>
      <c r="F96" s="152">
        <v>13.24</v>
      </c>
    </row>
    <row r="97" spans="1:10" ht="26.25" customHeight="1">
      <c r="A97" s="124" t="s">
        <v>73</v>
      </c>
      <c r="B97" s="110">
        <v>1</v>
      </c>
      <c r="C97" s="222" t="s">
        <v>113</v>
      </c>
      <c r="D97" s="223">
        <f>D96*$B$87</f>
        <v>12.45</v>
      </c>
      <c r="E97" s="155"/>
      <c r="F97" s="154">
        <f>F96*$B$87</f>
        <v>13.24</v>
      </c>
    </row>
    <row r="98" spans="1:10" ht="19.5" customHeight="1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12.3504</v>
      </c>
      <c r="E98" s="158"/>
      <c r="F98" s="157">
        <f>F97*$B$83/100</f>
        <v>13.134080000000001</v>
      </c>
    </row>
    <row r="99" spans="1:10" ht="19.5" customHeight="1">
      <c r="A99" s="304" t="s">
        <v>77</v>
      </c>
      <c r="B99" s="319"/>
      <c r="C99" s="222" t="s">
        <v>115</v>
      </c>
      <c r="D99" s="226">
        <f>D98/$B$98</f>
        <v>0.24700800000000001</v>
      </c>
      <c r="E99" s="158"/>
      <c r="F99" s="161">
        <f>F98/$B$98</f>
        <v>0.26268160000000002</v>
      </c>
      <c r="G99" s="227"/>
      <c r="H99" s="150"/>
    </row>
    <row r="100" spans="1:10" ht="19.5" customHeight="1">
      <c r="A100" s="306"/>
      <c r="B100" s="320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116</v>
      </c>
      <c r="D103" s="234">
        <f>AVERAGE(E91:E94,G91:G94)</f>
        <v>98793076.455331609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5.3536637266287787E-3</v>
      </c>
      <c r="F104" s="170"/>
      <c r="G104" s="227"/>
      <c r="H104" s="150"/>
      <c r="J104" s="236"/>
    </row>
    <row r="105" spans="1:10" ht="19.5" customHeight="1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91749220</v>
      </c>
      <c r="E108" s="279">
        <f>IF(ISBLANK(D108),"-",D108/$D$103*$D$100*$B$116)</f>
        <v>278.61027298249059</v>
      </c>
      <c r="F108" s="245">
        <f>IF(ISBLANK(D108), "-", E108/$B$56)</f>
        <v>0.92870090994163523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91069659</v>
      </c>
      <c r="E109" s="280">
        <f t="shared" ref="E109:E113" si="1">IF(ISBLANK(D109),"-",D109/$D$103*$D$100*$B$116)</f>
        <v>276.54668404169894</v>
      </c>
      <c r="F109" s="246">
        <f t="shared" ref="F109:F113" si="2">IF(ISBLANK(D109), "-", E109/$B$56)</f>
        <v>0.92182228013899647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91106232</v>
      </c>
      <c r="E110" s="280">
        <f t="shared" si="1"/>
        <v>276.65774344377115</v>
      </c>
      <c r="F110" s="246">
        <f>IF(ISBLANK(D110), "-", E110/$B$56)</f>
        <v>0.92219247814590388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90131730</v>
      </c>
      <c r="E111" s="280">
        <f t="shared" si="1"/>
        <v>273.69852190224759</v>
      </c>
      <c r="F111" s="246">
        <f t="shared" si="2"/>
        <v>0.91232840634082535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91399997</v>
      </c>
      <c r="E112" s="280">
        <f t="shared" si="1"/>
        <v>277.54980494405095</v>
      </c>
      <c r="F112" s="246">
        <f>IF(ISBLANK(D112), "-", E112/$B$56)</f>
        <v>0.92516601648016983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90188742</v>
      </c>
      <c r="E113" s="281">
        <f t="shared" si="1"/>
        <v>273.87164739457631</v>
      </c>
      <c r="F113" s="249">
        <f t="shared" si="2"/>
        <v>0.91290549131525434</v>
      </c>
    </row>
    <row r="114" spans="1:10" ht="26.25" customHeight="1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0.92051926372713089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7.1746185655356979E-3</v>
      </c>
      <c r="I116" s="98"/>
    </row>
    <row r="117" spans="1:10" ht="27" customHeight="1">
      <c r="A117" s="304" t="s">
        <v>77</v>
      </c>
      <c r="B117" s="305"/>
      <c r="C117" s="257"/>
      <c r="D117" s="258"/>
      <c r="E117" s="259" t="s">
        <v>19</v>
      </c>
      <c r="F117" s="260">
        <f>COUNT(F108:F113)</f>
        <v>6</v>
      </c>
      <c r="I117" s="98"/>
      <c r="J117" s="236"/>
    </row>
    <row r="118" spans="1:10" ht="19.5" customHeight="1">
      <c r="A118" s="306"/>
      <c r="B118" s="307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308" t="str">
        <f>B20</f>
        <v>Tenofovir Disoproxil Fumarate</v>
      </c>
      <c r="D120" s="308"/>
      <c r="E120" s="205" t="s">
        <v>123</v>
      </c>
      <c r="F120" s="205"/>
      <c r="G120" s="206">
        <f>F115</f>
        <v>0.92051926372713089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309" t="s">
        <v>25</v>
      </c>
      <c r="C122" s="309"/>
      <c r="E122" s="211" t="s">
        <v>26</v>
      </c>
      <c r="F122" s="263"/>
      <c r="G122" s="309" t="s">
        <v>27</v>
      </c>
      <c r="H122" s="309"/>
    </row>
    <row r="123" spans="1:10" ht="69.95" customHeight="1">
      <c r="A123" s="264" t="s">
        <v>28</v>
      </c>
      <c r="B123" s="265" t="s">
        <v>125</v>
      </c>
      <c r="C123" s="265"/>
      <c r="E123" s="291">
        <v>42298</v>
      </c>
      <c r="F123" s="98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8" zoomScale="60" zoomScaleNormal="100" workbookViewId="0">
      <selection activeCell="B24" sqref="B24:E29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292" t="s">
        <v>0</v>
      </c>
      <c r="B15" s="292"/>
      <c r="C15" s="292"/>
      <c r="D15" s="292"/>
      <c r="E15" s="292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126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8</v>
      </c>
      <c r="B20" s="9">
        <v>17.68</v>
      </c>
      <c r="C20" s="72"/>
      <c r="D20" s="72"/>
      <c r="E20" s="72"/>
    </row>
    <row r="21" spans="1:5" ht="16.5" customHeight="1">
      <c r="A21" s="8" t="s">
        <v>10</v>
      </c>
      <c r="B21" s="13">
        <f>B20/10*1/25</f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17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</row>
    <row r="31" spans="1:5" ht="16.5" customHeight="1">
      <c r="A31" s="27" t="s">
        <v>18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19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20</v>
      </c>
      <c r="B34" s="40" t="s">
        <v>21</v>
      </c>
      <c r="C34" s="39"/>
      <c r="D34" s="39"/>
      <c r="E34" s="39"/>
    </row>
    <row r="35" spans="1:5" ht="16.5" customHeight="1">
      <c r="A35" s="75"/>
      <c r="B35" s="40" t="s">
        <v>22</v>
      </c>
      <c r="C35" s="39"/>
      <c r="D35" s="39"/>
      <c r="E35" s="39"/>
    </row>
    <row r="36" spans="1:5" ht="16.5" customHeight="1">
      <c r="A36" s="75"/>
      <c r="B36" s="40" t="s">
        <v>23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24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8</v>
      </c>
      <c r="B41" s="12">
        <f>B20</f>
        <v>17.68</v>
      </c>
      <c r="C41" s="72"/>
      <c r="D41" s="72"/>
      <c r="E41" s="72"/>
    </row>
    <row r="42" spans="1:5" ht="16.5" customHeight="1">
      <c r="A42" s="8" t="s">
        <v>10</v>
      </c>
      <c r="B42" s="13">
        <f>B21</f>
        <v>7.0720000000000005E-2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>
      <c r="A45" s="17">
        <v>1</v>
      </c>
      <c r="B45" s="18">
        <v>64163478</v>
      </c>
      <c r="C45" s="18">
        <v>4310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64387027</v>
      </c>
      <c r="C46" s="18">
        <v>4359.7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64780244</v>
      </c>
      <c r="C47" s="18">
        <v>4363.6000000000004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66156474</v>
      </c>
      <c r="C48" s="18">
        <v>4418.6000000000004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65151325</v>
      </c>
      <c r="C49" s="18">
        <v>4341.8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65898535</v>
      </c>
      <c r="C50" s="21">
        <v>4384.3</v>
      </c>
      <c r="D50" s="22">
        <v>0.8</v>
      </c>
      <c r="E50" s="22">
        <v>3.5</v>
      </c>
    </row>
    <row r="51" spans="1:7" ht="16.5" customHeight="1">
      <c r="A51" s="23" t="s">
        <v>17</v>
      </c>
      <c r="B51" s="24">
        <f>AVERAGE(B45:B50)</f>
        <v>65089513.833333336</v>
      </c>
      <c r="C51" s="25">
        <f>AVERAGE(C45:C50)</f>
        <v>4363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18</v>
      </c>
      <c r="B52" s="28">
        <f>(STDEV(B45:B50)/B51)</f>
        <v>1.2373866288992796E-2</v>
      </c>
      <c r="C52" s="29"/>
      <c r="D52" s="29"/>
      <c r="E52" s="30"/>
    </row>
    <row r="53" spans="1:7" s="227" customFormat="1" ht="16.5" customHeight="1">
      <c r="A53" s="31" t="s">
        <v>19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20</v>
      </c>
      <c r="B55" s="40" t="s">
        <v>21</v>
      </c>
      <c r="C55" s="39"/>
      <c r="D55" s="39"/>
      <c r="E55" s="39"/>
    </row>
    <row r="56" spans="1:7" ht="16.5" customHeight="1">
      <c r="A56" s="75"/>
      <c r="B56" s="40" t="s">
        <v>22</v>
      </c>
      <c r="C56" s="39"/>
      <c r="D56" s="39"/>
      <c r="E56" s="39"/>
    </row>
    <row r="57" spans="1:7" ht="16.5" customHeight="1">
      <c r="A57" s="75"/>
      <c r="B57" s="40" t="s">
        <v>23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293" t="s">
        <v>25</v>
      </c>
      <c r="C59" s="293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9" t="s">
        <v>125</v>
      </c>
      <c r="C60" s="49"/>
      <c r="E60" s="290">
        <v>42298</v>
      </c>
      <c r="G60" s="49"/>
    </row>
    <row r="61" spans="1:7" ht="15" customHeight="1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9" zoomScale="60" zoomScaleNormal="40" zoomScalePageLayoutView="50" workbookViewId="0">
      <selection activeCell="F60" sqref="F60:F62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302" t="s">
        <v>44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>
      <c r="A7" s="302"/>
      <c r="B7" s="302"/>
      <c r="C7" s="302"/>
      <c r="D7" s="302"/>
      <c r="E7" s="302"/>
      <c r="F7" s="302"/>
      <c r="G7" s="302"/>
      <c r="H7" s="302"/>
      <c r="I7" s="302"/>
    </row>
    <row r="8" spans="1:9">
      <c r="A8" s="303" t="s">
        <v>45</v>
      </c>
      <c r="B8" s="303"/>
      <c r="C8" s="303"/>
      <c r="D8" s="303"/>
      <c r="E8" s="303"/>
      <c r="F8" s="303"/>
      <c r="G8" s="303"/>
      <c r="H8" s="303"/>
      <c r="I8" s="303"/>
    </row>
    <row r="9" spans="1:9">
      <c r="A9" s="303"/>
      <c r="B9" s="303"/>
      <c r="C9" s="303"/>
      <c r="D9" s="303"/>
      <c r="E9" s="303"/>
      <c r="F9" s="303"/>
      <c r="G9" s="303"/>
      <c r="H9" s="303"/>
      <c r="I9" s="303"/>
    </row>
    <row r="10" spans="1:9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 thickBot="1">
      <c r="A15" s="205"/>
    </row>
    <row r="16" spans="1:9" ht="19.5" customHeight="1" thickBot="1">
      <c r="A16" s="336" t="s">
        <v>30</v>
      </c>
      <c r="B16" s="337"/>
      <c r="C16" s="337"/>
      <c r="D16" s="337"/>
      <c r="E16" s="337"/>
      <c r="F16" s="337"/>
      <c r="G16" s="337"/>
      <c r="H16" s="338"/>
    </row>
    <row r="17" spans="1:14" ht="20.25" customHeight="1">
      <c r="A17" s="339" t="s">
        <v>46</v>
      </c>
      <c r="B17" s="339"/>
      <c r="C17" s="339"/>
      <c r="D17" s="339"/>
      <c r="E17" s="339"/>
      <c r="F17" s="339"/>
      <c r="G17" s="339"/>
      <c r="H17" s="339"/>
    </row>
    <row r="18" spans="1:14" ht="26.25" customHeight="1">
      <c r="A18" s="100" t="s">
        <v>32</v>
      </c>
      <c r="B18" s="335" t="s">
        <v>5</v>
      </c>
      <c r="C18" s="335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286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40" t="s">
        <v>126</v>
      </c>
      <c r="C20" s="340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40" t="s">
        <v>11</v>
      </c>
      <c r="C21" s="340"/>
      <c r="D21" s="340"/>
      <c r="E21" s="340"/>
      <c r="F21" s="340"/>
      <c r="G21" s="340"/>
      <c r="H21" s="340"/>
      <c r="I21" s="104"/>
    </row>
    <row r="22" spans="1:14" ht="26.25" customHeight="1">
      <c r="A22" s="100" t="s">
        <v>36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335" t="s">
        <v>126</v>
      </c>
      <c r="C26" s="335"/>
    </row>
    <row r="27" spans="1:14" ht="26.25" customHeight="1">
      <c r="A27" s="216" t="s">
        <v>47</v>
      </c>
      <c r="B27" s="333" t="s">
        <v>127</v>
      </c>
      <c r="C27" s="333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48</v>
      </c>
      <c r="B29" s="111">
        <v>0</v>
      </c>
      <c r="C29" s="310" t="s">
        <v>49</v>
      </c>
      <c r="D29" s="311"/>
      <c r="E29" s="311"/>
      <c r="F29" s="311"/>
      <c r="G29" s="312"/>
      <c r="I29" s="112"/>
      <c r="J29" s="112"/>
      <c r="K29" s="112"/>
      <c r="L29" s="112"/>
    </row>
    <row r="30" spans="1:14" s="16" customFormat="1" ht="19.5" customHeight="1" thickBot="1">
      <c r="A30" s="216" t="s">
        <v>50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51</v>
      </c>
      <c r="B31" s="116">
        <v>1</v>
      </c>
      <c r="C31" s="313" t="s">
        <v>52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6" customFormat="1" ht="27" customHeight="1" thickBot="1">
      <c r="A32" s="216" t="s">
        <v>53</v>
      </c>
      <c r="B32" s="116">
        <v>1</v>
      </c>
      <c r="C32" s="313" t="s">
        <v>54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55</v>
      </c>
      <c r="B34" s="121">
        <f>B31/B32</f>
        <v>1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57</v>
      </c>
      <c r="B36" s="123">
        <v>10</v>
      </c>
      <c r="C36" s="205"/>
      <c r="D36" s="316" t="s">
        <v>58</v>
      </c>
      <c r="E36" s="334"/>
      <c r="F36" s="316" t="s">
        <v>59</v>
      </c>
      <c r="G36" s="317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65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66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318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318"/>
      <c r="L40" s="117"/>
      <c r="M40" s="117"/>
      <c r="N40" s="205"/>
    </row>
    <row r="41" spans="1:14" ht="27" customHeight="1" thickBo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69</v>
      </c>
      <c r="B42" s="125">
        <v>1</v>
      </c>
      <c r="C42" s="146" t="s">
        <v>70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304" t="s">
        <v>77</v>
      </c>
      <c r="B46" s="305"/>
      <c r="C46" s="153" t="s">
        <v>78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306"/>
      <c r="B47" s="307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 thickBo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54790335.300042272</v>
      </c>
      <c r="F50" s="170"/>
      <c r="H50" s="150"/>
    </row>
    <row r="51" spans="1:12" ht="18.75">
      <c r="C51" s="124" t="s">
        <v>83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205" t="s">
        <v>85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87</v>
      </c>
      <c r="B57" s="271">
        <f>Uniformity!C46</f>
        <v>1204.3620000000001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88</v>
      </c>
      <c r="B59" s="123">
        <v>100</v>
      </c>
      <c r="C59" s="205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6" customFormat="1" ht="26.25" customHeight="1">
      <c r="A60" s="124" t="s">
        <v>92</v>
      </c>
      <c r="B60" s="125">
        <v>5</v>
      </c>
      <c r="C60" s="321" t="s">
        <v>93</v>
      </c>
      <c r="D60" s="324">
        <f>'Tenofovir Disoproxil Fumarate'!D60:D63</f>
        <v>1189.8800000000001</v>
      </c>
      <c r="E60" s="182">
        <v>1</v>
      </c>
      <c r="F60" s="183"/>
      <c r="G60" s="344" t="str">
        <f>IF(ISBLANK(F60),"-",(F60/$D$50*$D$47*$B$68)*($B$57/$D$60))</f>
        <v>-</v>
      </c>
      <c r="H60" s="345" t="str">
        <f>IF(ISBLANK(F60),"-",G60/$B$56)</f>
        <v>-</v>
      </c>
      <c r="I60" s="343"/>
      <c r="L60" s="112"/>
    </row>
    <row r="61" spans="1:12" s="16" customFormat="1" ht="26.25" customHeight="1">
      <c r="A61" s="124" t="s">
        <v>94</v>
      </c>
      <c r="B61" s="125">
        <v>250</v>
      </c>
      <c r="C61" s="322"/>
      <c r="D61" s="325"/>
      <c r="E61" s="185">
        <v>2</v>
      </c>
      <c r="F61" s="137"/>
      <c r="G61" s="346" t="str">
        <f>IF(ISBLANK(F61),"-",(F61/$D$50*$D$47*$B$68)*($B$57/$D$60))</f>
        <v>-</v>
      </c>
      <c r="H61" s="347" t="str">
        <f>IF(ISBLANK(F61),"-",G61/$B$56)</f>
        <v>-</v>
      </c>
      <c r="I61" s="343"/>
      <c r="L61" s="112"/>
    </row>
    <row r="62" spans="1:12" s="16" customFormat="1" ht="26.25" customHeight="1">
      <c r="A62" s="124" t="s">
        <v>95</v>
      </c>
      <c r="B62" s="125">
        <v>1</v>
      </c>
      <c r="C62" s="322"/>
      <c r="D62" s="325"/>
      <c r="E62" s="185">
        <v>3</v>
      </c>
      <c r="F62" s="187"/>
      <c r="G62" s="346" t="str">
        <f>IF(ISBLANK(F62),"-",(F62/$D$50*$D$47*$B$68)*($B$57/$D$60))</f>
        <v>-</v>
      </c>
      <c r="H62" s="347" t="str">
        <f t="shared" ref="H62:H71" si="0">IF(ISBLANK(F62),"-",G62/$B$56)</f>
        <v>-</v>
      </c>
      <c r="I62" s="343"/>
      <c r="L62" s="112"/>
    </row>
    <row r="63" spans="1:12" ht="27" customHeight="1" thickBot="1">
      <c r="A63" s="124" t="s">
        <v>96</v>
      </c>
      <c r="B63" s="125">
        <v>1</v>
      </c>
      <c r="C63" s="332"/>
      <c r="D63" s="326"/>
      <c r="E63" s="188">
        <v>4</v>
      </c>
      <c r="F63" s="189"/>
      <c r="G63" s="348" t="str">
        <f>IF(ISBLANK(F63),"-",(F63/$D$50*$D$47*$B$68)*($B$57/$D$60))</f>
        <v>-</v>
      </c>
      <c r="H63" s="349" t="str">
        <f t="shared" si="0"/>
        <v>-</v>
      </c>
    </row>
    <row r="64" spans="1:12" ht="26.25" customHeight="1">
      <c r="A64" s="124" t="s">
        <v>97</v>
      </c>
      <c r="B64" s="125">
        <v>1</v>
      </c>
      <c r="C64" s="321" t="s">
        <v>98</v>
      </c>
      <c r="D64" s="324">
        <f>'Tenofovir Disoproxil Fumarate'!D64:D67</f>
        <v>1206.5899999999999</v>
      </c>
      <c r="E64" s="182">
        <v>1</v>
      </c>
      <c r="F64" s="183">
        <v>57893953</v>
      </c>
      <c r="G64" s="276">
        <f>IF(ISBLANK(F64),"-",(F64/$D$50*$D$47*$B$68)*($B$57/$D$64))</f>
        <v>316.40826790782239</v>
      </c>
      <c r="H64" s="191">
        <f>IF(ISBLANK(F64),"-",G64/$B$56)</f>
        <v>1.0546942263594079</v>
      </c>
    </row>
    <row r="65" spans="1:8" ht="26.25" customHeight="1">
      <c r="A65" s="124" t="s">
        <v>99</v>
      </c>
      <c r="B65" s="125">
        <v>1</v>
      </c>
      <c r="C65" s="322"/>
      <c r="D65" s="325"/>
      <c r="E65" s="185">
        <v>2</v>
      </c>
      <c r="F65" s="137">
        <v>58614852</v>
      </c>
      <c r="G65" s="276">
        <f>IF(ISBLANK(F65),"-",(F65/$D$50*$D$47*$B$68)*($B$57/$D$64))</f>
        <v>320.34820277332523</v>
      </c>
      <c r="H65" s="191">
        <f>IF(ISBLANK(F65),"-",G65/$B$56)</f>
        <v>1.0678273425777507</v>
      </c>
    </row>
    <row r="66" spans="1:8" ht="26.25" customHeight="1">
      <c r="A66" s="124" t="s">
        <v>100</v>
      </c>
      <c r="B66" s="125">
        <v>1</v>
      </c>
      <c r="C66" s="322"/>
      <c r="D66" s="325"/>
      <c r="E66" s="185">
        <v>3</v>
      </c>
      <c r="F66" s="137">
        <v>57357850</v>
      </c>
      <c r="G66" s="276">
        <f>IF(ISBLANK(F66),"-",(F66/$D$50*$D$47*$B$68)*($B$57/$D$64))</f>
        <v>313.47830004658147</v>
      </c>
      <c r="H66" s="191">
        <f>IF(ISBLANK(F66),"-",G66/$B$56)</f>
        <v>1.0449276668219383</v>
      </c>
    </row>
    <row r="67" spans="1:8" ht="27" customHeight="1" thickBot="1">
      <c r="A67" s="124" t="s">
        <v>101</v>
      </c>
      <c r="B67" s="125">
        <v>1</v>
      </c>
      <c r="C67" s="332"/>
      <c r="D67" s="326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21" t="s">
        <v>103</v>
      </c>
      <c r="D68" s="324">
        <f>'Tenofovir Disoproxil Fumarate'!D68:D71</f>
        <v>1218.79</v>
      </c>
      <c r="E68" s="182">
        <v>1</v>
      </c>
      <c r="F68" s="183">
        <v>57510699</v>
      </c>
      <c r="G68" s="275">
        <f>IF(ISBLANK(F68),"-",(F68/$D$50*$D$47*$B$68)*($B$57/$D$68))</f>
        <v>311.1674097285167</v>
      </c>
      <c r="H68" s="186">
        <f>IF(ISBLANK(F68),"-",G68/$B$56)</f>
        <v>1.0372246990950558</v>
      </c>
    </row>
    <row r="69" spans="1:8" ht="27" customHeight="1" thickBot="1">
      <c r="A69" s="172" t="s">
        <v>104</v>
      </c>
      <c r="B69" s="194">
        <f>(D47*B68)/B56*B57</f>
        <v>1204.3620000000001</v>
      </c>
      <c r="C69" s="322"/>
      <c r="D69" s="325"/>
      <c r="E69" s="185">
        <v>2</v>
      </c>
      <c r="F69" s="137">
        <v>58508297</v>
      </c>
      <c r="G69" s="276">
        <f>IF(ISBLANK(F69),"-",(F69/$D$50*$D$47*$B$68)*($B$57/$D$68))</f>
        <v>316.56501384406312</v>
      </c>
      <c r="H69" s="186">
        <f t="shared" si="0"/>
        <v>1.0552167128135437</v>
      </c>
    </row>
    <row r="70" spans="1:8" ht="26.25" customHeight="1">
      <c r="A70" s="327" t="s">
        <v>77</v>
      </c>
      <c r="B70" s="328"/>
      <c r="C70" s="322"/>
      <c r="D70" s="325"/>
      <c r="E70" s="185">
        <v>3</v>
      </c>
      <c r="F70" s="137">
        <v>58351220</v>
      </c>
      <c r="G70" s="276">
        <f>IF(ISBLANK(F70),"-",(F70/$D$50*$D$47*$B$68)*($B$57/$D$68))</f>
        <v>315.71513296854238</v>
      </c>
      <c r="H70" s="186">
        <f>IF(ISBLANK(F70),"-",G70/$B$56)</f>
        <v>1.0523837765618078</v>
      </c>
    </row>
    <row r="71" spans="1:8" ht="27" customHeight="1" thickBot="1">
      <c r="A71" s="329"/>
      <c r="B71" s="330"/>
      <c r="C71" s="323"/>
      <c r="D71" s="326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70</v>
      </c>
      <c r="H72" s="199">
        <f>AVERAGE(H60:H71)</f>
        <v>1.0520457373715841</v>
      </c>
    </row>
    <row r="73" spans="1:8" ht="26.25" customHeight="1">
      <c r="C73" s="224"/>
      <c r="D73" s="224"/>
      <c r="E73" s="224"/>
      <c r="F73" s="224"/>
      <c r="G73" s="200" t="s">
        <v>83</v>
      </c>
      <c r="H73" s="278">
        <f>STDEV(H60:H71)/H72</f>
        <v>9.8467926133876584E-3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19</v>
      </c>
      <c r="H74" s="203">
        <f>COUNT(H60:H71)</f>
        <v>6</v>
      </c>
    </row>
    <row r="76" spans="1:8" ht="26.25" customHeight="1">
      <c r="A76" s="264" t="s">
        <v>105</v>
      </c>
      <c r="B76" s="216" t="s">
        <v>106</v>
      </c>
      <c r="C76" s="308" t="str">
        <f>B20</f>
        <v>Lamivudine</v>
      </c>
      <c r="D76" s="308"/>
      <c r="E76" s="205" t="s">
        <v>107</v>
      </c>
      <c r="F76" s="205"/>
      <c r="G76" s="206">
        <f>H72</f>
        <v>1.0520457373715841</v>
      </c>
      <c r="H76" s="282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264" t="s">
        <v>4</v>
      </c>
      <c r="B79" s="331" t="str">
        <f>B26</f>
        <v>Lamivudine</v>
      </c>
      <c r="C79" s="331"/>
    </row>
    <row r="80" spans="1:8" ht="26.25" customHeight="1">
      <c r="A80" s="216" t="s">
        <v>47</v>
      </c>
      <c r="B80" s="331" t="str">
        <f>B27</f>
        <v>T11 5</v>
      </c>
      <c r="C80" s="331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48</v>
      </c>
      <c r="B82" s="111">
        <v>0</v>
      </c>
      <c r="C82" s="310" t="s">
        <v>49</v>
      </c>
      <c r="D82" s="311"/>
      <c r="E82" s="311"/>
      <c r="F82" s="311"/>
      <c r="G82" s="312"/>
      <c r="I82" s="112"/>
      <c r="J82" s="112"/>
      <c r="K82" s="112"/>
      <c r="L82" s="112"/>
    </row>
    <row r="83" spans="1:12" s="16" customFormat="1" ht="19.5" customHeight="1" thickBot="1">
      <c r="A83" s="216" t="s">
        <v>50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51</v>
      </c>
      <c r="B84" s="116">
        <v>1</v>
      </c>
      <c r="C84" s="313" t="s">
        <v>110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6" customFormat="1" ht="27" customHeight="1" thickBot="1">
      <c r="A85" s="216" t="s">
        <v>53</v>
      </c>
      <c r="B85" s="116">
        <v>1</v>
      </c>
      <c r="C85" s="313" t="s">
        <v>111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55</v>
      </c>
      <c r="B87" s="121">
        <f>B84/B85</f>
        <v>1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57</v>
      </c>
      <c r="B89" s="123">
        <v>10</v>
      </c>
      <c r="D89" s="284" t="s">
        <v>58</v>
      </c>
      <c r="E89" s="287"/>
      <c r="F89" s="316" t="s">
        <v>59</v>
      </c>
      <c r="G89" s="317"/>
    </row>
    <row r="90" spans="1:12" ht="27" customHeight="1" thickBot="1">
      <c r="A90" s="124" t="s">
        <v>60</v>
      </c>
      <c r="B90" s="125">
        <v>3</v>
      </c>
      <c r="C90" s="283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105149560</v>
      </c>
      <c r="E91" s="133">
        <f>IF(ISBLANK(D91),"-",$D$101/$D$98*D91)</f>
        <v>146141470.98406288</v>
      </c>
      <c r="F91" s="132">
        <v>85551895</v>
      </c>
      <c r="G91" s="134">
        <f>IF(ISBLANK(F91),"-",$D$101/$F$98*F91)</f>
        <v>144880687.00408891</v>
      </c>
      <c r="I91" s="135"/>
    </row>
    <row r="92" spans="1:12" ht="26.25" customHeight="1">
      <c r="A92" s="124" t="s">
        <v>66</v>
      </c>
      <c r="B92" s="125">
        <v>1</v>
      </c>
      <c r="C92" s="224">
        <v>2</v>
      </c>
      <c r="D92" s="137">
        <v>105411897</v>
      </c>
      <c r="E92" s="138">
        <f>IF(ISBLANK(D92),"-",$D$101/$D$98*D92)</f>
        <v>146506078.45435134</v>
      </c>
      <c r="F92" s="137">
        <v>83433369</v>
      </c>
      <c r="G92" s="139">
        <f>IF(ISBLANK(F92),"-",$D$101/$F$98*F92)</f>
        <v>141292999.05964273</v>
      </c>
      <c r="I92" s="318">
        <f>ABS((F96/D96*D95)-F95)/D95</f>
        <v>1.6321752869059205E-2</v>
      </c>
    </row>
    <row r="93" spans="1:12" ht="26.25" customHeight="1">
      <c r="A93" s="124" t="s">
        <v>67</v>
      </c>
      <c r="B93" s="125">
        <v>1</v>
      </c>
      <c r="C93" s="224">
        <v>3</v>
      </c>
      <c r="D93" s="137">
        <v>103823819</v>
      </c>
      <c r="E93" s="138">
        <f>IF(ISBLANK(D93),"-",$D$101/$D$98*D93)</f>
        <v>144298897.98723927</v>
      </c>
      <c r="F93" s="137">
        <v>83899840</v>
      </c>
      <c r="G93" s="139">
        <f>IF(ISBLANK(F93),"-",$D$101/$F$98*F93)</f>
        <v>142082959.80741441</v>
      </c>
      <c r="I93" s="318"/>
    </row>
    <row r="94" spans="1:12" ht="27" customHeight="1" thickBo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69</v>
      </c>
      <c r="B95" s="125">
        <v>1</v>
      </c>
      <c r="C95" s="216" t="s">
        <v>70</v>
      </c>
      <c r="D95" s="217">
        <f>AVERAGE(D91:D94)</f>
        <v>104795092</v>
      </c>
      <c r="E95" s="148">
        <f>AVERAGE(E91:E94)</f>
        <v>145648815.80855116</v>
      </c>
      <c r="F95" s="218">
        <f>AVERAGE(F91:F94)</f>
        <v>84295034.666666672</v>
      </c>
      <c r="G95" s="219">
        <f>AVERAGE(G91:G94)</f>
        <v>142752215.29038203</v>
      </c>
    </row>
    <row r="96" spans="1:12" ht="26.25" customHeight="1">
      <c r="A96" s="124" t="s">
        <v>71</v>
      </c>
      <c r="B96" s="208">
        <v>1</v>
      </c>
      <c r="C96" s="220" t="s">
        <v>112</v>
      </c>
      <c r="D96" s="221">
        <v>17.68</v>
      </c>
      <c r="E96" s="205"/>
      <c r="F96" s="152">
        <v>14.51</v>
      </c>
    </row>
    <row r="97" spans="1:10" ht="26.25" customHeight="1">
      <c r="A97" s="124" t="s">
        <v>73</v>
      </c>
      <c r="B97" s="208">
        <v>1</v>
      </c>
      <c r="C97" s="222" t="s">
        <v>113</v>
      </c>
      <c r="D97" s="223">
        <f>D96*$B$87</f>
        <v>17.68</v>
      </c>
      <c r="E97" s="224"/>
      <c r="F97" s="154">
        <f>F96*$B$87</f>
        <v>14.51</v>
      </c>
    </row>
    <row r="98" spans="1:10" ht="19.5" customHeight="1" thickBot="1">
      <c r="A98" s="124" t="s">
        <v>75</v>
      </c>
      <c r="B98" s="224">
        <f>(B97/B96)*(B95/B94)*(B93/B92)*(B91/B90)*B89</f>
        <v>83.333333333333343</v>
      </c>
      <c r="C98" s="222" t="s">
        <v>114</v>
      </c>
      <c r="D98" s="225">
        <f>D97*$B$83/100</f>
        <v>17.987631999999998</v>
      </c>
      <c r="E98" s="201"/>
      <c r="F98" s="157">
        <f>F97*$B$83/100</f>
        <v>14.762473999999999</v>
      </c>
    </row>
    <row r="99" spans="1:10" ht="19.5" customHeight="1" thickBot="1">
      <c r="A99" s="304" t="s">
        <v>77</v>
      </c>
      <c r="B99" s="319"/>
      <c r="C99" s="222" t="s">
        <v>115</v>
      </c>
      <c r="D99" s="226">
        <f>D98/$B$98</f>
        <v>0.21585158399999996</v>
      </c>
      <c r="E99" s="201"/>
      <c r="F99" s="161">
        <f>F98/$B$98</f>
        <v>0.17714968799999997</v>
      </c>
      <c r="H99" s="150"/>
    </row>
    <row r="100" spans="1:10" ht="19.5" customHeight="1" thickBot="1">
      <c r="A100" s="306"/>
      <c r="B100" s="320"/>
      <c r="C100" s="222" t="s">
        <v>79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80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81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116</v>
      </c>
      <c r="D103" s="234">
        <f>AVERAGE(E91:E94,G91:G94)</f>
        <v>144200515.54946658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1.4708597023645164E-2</v>
      </c>
      <c r="F104" s="170"/>
      <c r="H104" s="150"/>
      <c r="J104" s="236"/>
    </row>
    <row r="105" spans="1:10" ht="19.5" customHeight="1" thickBot="1">
      <c r="C105" s="202" t="s">
        <v>19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84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143178712</v>
      </c>
      <c r="E108" s="279">
        <f t="shared" ref="E108:E113" si="1">IF(ISBLANK(D108),"-",D108/$D$103*$D$100*$B$116)</f>
        <v>297.87420271230013</v>
      </c>
      <c r="F108" s="245">
        <f>IF(ISBLANK(D108), "-", E108/$B$56)</f>
        <v>0.99291400904100047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142153258</v>
      </c>
      <c r="E109" s="280">
        <f t="shared" si="1"/>
        <v>295.74081089447083</v>
      </c>
      <c r="F109" s="246">
        <f t="shared" ref="F109:F113" si="2">IF(ISBLANK(D109), "-", E109/$B$56)</f>
        <v>0.98580270298156947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142201938</v>
      </c>
      <c r="E110" s="280">
        <f t="shared" si="1"/>
        <v>295.84208653793405</v>
      </c>
      <c r="F110" s="246">
        <f>IF(ISBLANK(D110), "-", E110/$B$56)</f>
        <v>0.98614028845978019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140626199</v>
      </c>
      <c r="E111" s="280">
        <f t="shared" si="1"/>
        <v>292.56386178125604</v>
      </c>
      <c r="F111" s="246">
        <f t="shared" si="2"/>
        <v>0.97521287260418676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142576396</v>
      </c>
      <c r="E112" s="280">
        <f t="shared" si="1"/>
        <v>296.62112258764546</v>
      </c>
      <c r="F112" s="246">
        <f>IF(ISBLANK(D112), "-", E112/$B$56)</f>
        <v>0.98873707529215149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140732681</v>
      </c>
      <c r="E113" s="281">
        <f t="shared" si="1"/>
        <v>292.78539080893165</v>
      </c>
      <c r="F113" s="249">
        <f t="shared" si="2"/>
        <v>0.97595130269643882</v>
      </c>
    </row>
    <row r="114" spans="1:10" ht="26.25" customHeight="1">
      <c r="A114" s="124" t="s">
        <v>100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0.98412637517918788</v>
      </c>
    </row>
    <row r="116" spans="1:10" ht="27" customHeight="1" thickBo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7.2084975003512373E-3</v>
      </c>
      <c r="I116" s="205"/>
    </row>
    <row r="117" spans="1:10" ht="27" customHeight="1" thickBot="1">
      <c r="A117" s="304" t="s">
        <v>77</v>
      </c>
      <c r="B117" s="305"/>
      <c r="C117" s="257"/>
      <c r="D117" s="258"/>
      <c r="E117" s="259" t="s">
        <v>19</v>
      </c>
      <c r="F117" s="260">
        <f>COUNT(F108:F113)</f>
        <v>6</v>
      </c>
      <c r="I117" s="205"/>
      <c r="J117" s="236"/>
    </row>
    <row r="118" spans="1:10" ht="19.5" customHeight="1" thickBot="1">
      <c r="A118" s="306"/>
      <c r="B118" s="307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105</v>
      </c>
      <c r="B120" s="216" t="s">
        <v>122</v>
      </c>
      <c r="C120" s="308" t="str">
        <f>B20</f>
        <v>Lamivudine</v>
      </c>
      <c r="D120" s="308"/>
      <c r="E120" s="205" t="s">
        <v>123</v>
      </c>
      <c r="F120" s="205"/>
      <c r="G120" s="206">
        <f>F115</f>
        <v>0.98412637517918788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309" t="s">
        <v>25</v>
      </c>
      <c r="C122" s="309"/>
      <c r="E122" s="283" t="s">
        <v>26</v>
      </c>
      <c r="F122" s="263"/>
      <c r="G122" s="309" t="s">
        <v>27</v>
      </c>
      <c r="H122" s="309"/>
    </row>
    <row r="123" spans="1:10" ht="69.95" customHeight="1">
      <c r="A123" s="264" t="s">
        <v>28</v>
      </c>
      <c r="B123" s="266" t="s">
        <v>125</v>
      </c>
      <c r="C123" s="266"/>
      <c r="E123" s="291">
        <v>42298</v>
      </c>
      <c r="F123" s="205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Tenofovir Disoproxil Fumarate</vt:lpstr>
      <vt:lpstr>SST (2)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2015-10-21T08:06:34Z</cp:lastPrinted>
  <dcterms:created xsi:type="dcterms:W3CDTF">2005-07-05T10:19:27Z</dcterms:created>
  <dcterms:modified xsi:type="dcterms:W3CDTF">2015-11-17T16:22:21Z</dcterms:modified>
</cp:coreProperties>
</file>