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NEVIRAPINE" sheetId="3" r:id="rId3"/>
  </sheets>
  <externalReferences>
    <externalReference r:id="rId4"/>
  </externalReference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3" i="1" l="1"/>
  <c r="B52" i="1"/>
  <c r="B32" i="1"/>
  <c r="E30" i="1"/>
  <c r="D30" i="1"/>
  <c r="C30" i="1"/>
  <c r="B30" i="1"/>
  <c r="B31" i="1" s="1"/>
  <c r="B21" i="1"/>
  <c r="B116" i="3" l="1"/>
  <c r="G120" i="3"/>
  <c r="F115" i="3"/>
  <c r="B98" i="3"/>
  <c r="G42" i="3"/>
  <c r="E42" i="3"/>
  <c r="C120" i="3" l="1"/>
  <c r="D100" i="3"/>
  <c r="F95" i="3"/>
  <c r="D95" i="3"/>
  <c r="I92" i="3" s="1"/>
  <c r="B87" i="3"/>
  <c r="D97" i="3" s="1"/>
  <c r="B81" i="3"/>
  <c r="B83" i="3" s="1"/>
  <c r="B80" i="3"/>
  <c r="B79" i="3"/>
  <c r="C76" i="3"/>
  <c r="B68" i="3"/>
  <c r="B69" i="3" s="1"/>
  <c r="B57" i="3"/>
  <c r="C56" i="3"/>
  <c r="B55" i="3"/>
  <c r="B45" i="3"/>
  <c r="D48" i="3" s="1"/>
  <c r="F42" i="3"/>
  <c r="D42" i="3"/>
  <c r="B34" i="3"/>
  <c r="D44" i="3" s="1"/>
  <c r="B30" i="3"/>
  <c r="D49" i="2"/>
  <c r="C46" i="2"/>
  <c r="D42" i="2" s="1"/>
  <c r="C45" i="2"/>
  <c r="D41" i="2"/>
  <c r="D40" i="2"/>
  <c r="D37" i="2"/>
  <c r="D36" i="2"/>
  <c r="D33" i="2"/>
  <c r="D32" i="2"/>
  <c r="D29" i="2"/>
  <c r="D28" i="2"/>
  <c r="D25" i="2"/>
  <c r="D24" i="2"/>
  <c r="C19" i="2"/>
  <c r="D101" i="3" l="1"/>
  <c r="D102" i="3" s="1"/>
  <c r="I39" i="3"/>
  <c r="D45" i="3"/>
  <c r="D46" i="3" s="1"/>
  <c r="D49" i="3"/>
  <c r="D98" i="3"/>
  <c r="D99" i="3" s="1"/>
  <c r="D26" i="2"/>
  <c r="D34" i="2"/>
  <c r="D38" i="2"/>
  <c r="B49" i="2"/>
  <c r="D50" i="2"/>
  <c r="D27" i="2"/>
  <c r="D31" i="2"/>
  <c r="D35" i="2"/>
  <c r="D39" i="2"/>
  <c r="D43" i="2"/>
  <c r="C49" i="2"/>
  <c r="F44" i="3"/>
  <c r="F45" i="3" s="1"/>
  <c r="F46" i="3" s="1"/>
  <c r="F97" i="3"/>
  <c r="F98" i="3" s="1"/>
  <c r="F99" i="3" s="1"/>
  <c r="C50" i="2"/>
  <c r="D30" i="2"/>
  <c r="E40" i="3" l="1"/>
  <c r="E39" i="3"/>
  <c r="E41" i="3"/>
  <c r="G92" i="3"/>
  <c r="G91" i="3"/>
  <c r="E94" i="3"/>
  <c r="E92" i="3"/>
  <c r="G94" i="3"/>
  <c r="E93" i="3"/>
  <c r="E38" i="3"/>
  <c r="G38" i="3"/>
  <c r="G39" i="3"/>
  <c r="G93" i="3"/>
  <c r="E91" i="3"/>
  <c r="G40" i="3"/>
  <c r="G41" i="3"/>
  <c r="G95" i="3" l="1"/>
  <c r="E95" i="3"/>
  <c r="D50" i="3"/>
  <c r="G71" i="3" s="1"/>
  <c r="H71" i="3" s="1"/>
  <c r="D52" i="3"/>
  <c r="D105" i="3"/>
  <c r="D103" i="3"/>
  <c r="G61" i="3" l="1"/>
  <c r="H61" i="3" s="1"/>
  <c r="G64" i="3"/>
  <c r="H64" i="3" s="1"/>
  <c r="G63" i="3"/>
  <c r="H63" i="3" s="1"/>
  <c r="G66" i="3"/>
  <c r="H66" i="3" s="1"/>
  <c r="G67" i="3"/>
  <c r="H67" i="3" s="1"/>
  <c r="G60" i="3"/>
  <c r="H60" i="3" s="1"/>
  <c r="G68" i="3"/>
  <c r="H68" i="3" s="1"/>
  <c r="G70" i="3"/>
  <c r="H70" i="3" s="1"/>
  <c r="G69" i="3"/>
  <c r="H69" i="3" s="1"/>
  <c r="D51" i="3"/>
  <c r="G65" i="3"/>
  <c r="H65" i="3" s="1"/>
  <c r="G62" i="3"/>
  <c r="H62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F108" i="3" s="1"/>
  <c r="H72" i="3" l="1"/>
  <c r="G76" i="3" s="1"/>
  <c r="H74" i="3"/>
  <c r="H73" i="3"/>
  <c r="F117" i="3"/>
  <c r="F116" i="3" l="1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<sst xmlns="http://schemas.openxmlformats.org/spreadsheetml/2006/main" count="233" uniqueCount="129">
  <si>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</si>
  <si>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</si>
  <si>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</si>
  <si>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</si>
  <si>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</si>
  <si>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</si>
  <si>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</si>
  <si>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NDQD201508156</t>
  </si>
  <si>
    <t>Weight (mg):</t>
  </si>
  <si>
    <t>Nevirapine USP</t>
  </si>
  <si>
    <t>Standard Conc (mg/mL):</t>
  </si>
  <si>
    <t xml:space="preserve">Each Tablet contins Nevirapine USP 200mg </t>
  </si>
  <si>
    <t>2015-08-13 12:17:52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</si>
  <si>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</si>
  <si>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</si>
  <si>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</si>
  <si>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</si>
  <si>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</si>
  <si>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</si>
  <si>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</si>
  <si>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</si>
  <si>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</si>
  <si>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</si>
  <si>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</si>
  <si>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</si>
  <si>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</si>
  <si>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</si>
  <si>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</si>
  <si>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</si>
  <si>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</si>
  <si>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</si>
  <si>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</si>
  <si>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</si>
  <si>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</si>
  <si>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</si>
  <si>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</si>
  <si>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</si>
  <si>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</si>
  <si>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</si>
  <si>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</si>
  <si>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</si>
  <si>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</si>
  <si>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</si>
  <si>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</si>
  <si>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</si>
  <si>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</si>
  <si>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</si>
  <si>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</si>
  <si>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</si>
  <si>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</si>
  <si>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</si>
  <si>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</si>
  <si>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</si>
  <si>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</si>
  <si>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</si>
  <si>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</si>
  <si>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</si>
  <si>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</si>
  <si>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</si>
  <si>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</si>
  <si>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</si>
  <si>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</si>
  <si>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</si>
  <si>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</si>
  <si>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</si>
  <si>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</si>
  <si>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</si>
  <si>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</si>
  <si>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</si>
  <si>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</si>
  <si>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</si>
  <si>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</si>
  <si>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</si>
  <si>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</si>
  <si>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</si>
  <si>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</si>
  <si>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</si>
  <si>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</si>
  <si>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</si>
  <si>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</si>
  <si>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</si>
  <si>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</si>
  <si>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</si>
  <si>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</si>
  <si>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</si>
  <si>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</si>
  <si>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</si>
  <si>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</si>
  <si>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</si>
  <si>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</si>
  <si>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</si>
  <si>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</si>
  <si>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</si>
  <si>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</si>
  <si>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</si>
  <si>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</si>
  <si>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</si>
  <si>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</si>
  <si>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</si>
  <si>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</si>
  <si>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</si>
  <si>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</si>
  <si>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</si>
  <si>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</si>
  <si>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</si>
  <si>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</si>
  <si>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</si>
  <si>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</si>
  <si>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</si>
  <si>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</si>
  <si>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</si>
  <si>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</si>
  <si>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</si>
  <si>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</si>
  <si>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</si>
  <si>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</si>
  <si>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</si>
  <si>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</si>
  <si>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</si>
  <si>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</si>
  <si>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</si>
  <si>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</si>
  <si>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</si>
  <si>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</si>
  <si>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</si>
  <si>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</si>
  <si>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WRS/N1-2</t>
  </si>
  <si>
    <t>Nevirapine tablets</t>
  </si>
  <si>
    <t>Nevirapine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</si>
</sst>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2" fillId="2" borderId="0" xfId="1" applyFont="1" applyFill="1"/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81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NEVIRAPINE"/>
    </sheetNames>
    <sheetDataSet>
      <sheetData sheetId="0" refreshError="1"/>
      <sheetData sheetId="1" refreshError="1"/>
      <sheetData sheetId="2">
        <row r="98">
          <cell r="B98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workbookViewId="0">
      <selection activeCell="A16" sqref="A16:E5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250" t="s">
        <v>1</v>
      </c>
      <c r="B16" s="251" t="s">
        <v>2</v>
      </c>
      <c r="C16" s="252"/>
      <c r="D16" s="252"/>
      <c r="E16" s="252"/>
    </row>
    <row r="17" spans="1:6" ht="16.5" customHeight="1" x14ac:dyDescent="0.3">
      <c r="A17" s="253" t="s">
        <v>3</v>
      </c>
      <c r="B17" s="253" t="s">
        <v>127</v>
      </c>
      <c r="C17" s="252"/>
      <c r="D17" s="254"/>
      <c r="E17" s="255"/>
    </row>
    <row r="18" spans="1:6" ht="16.5" customHeight="1" x14ac:dyDescent="0.3">
      <c r="A18" s="256" t="s">
        <v>4</v>
      </c>
      <c r="B18" s="253" t="s">
        <v>128</v>
      </c>
      <c r="C18" s="255"/>
      <c r="D18" s="255"/>
      <c r="E18" s="255"/>
    </row>
    <row r="19" spans="1:6" ht="16.5" customHeight="1" x14ac:dyDescent="0.3">
      <c r="A19" s="256" t="s">
        <v>6</v>
      </c>
      <c r="B19" s="257">
        <v>99.15</v>
      </c>
      <c r="C19" s="255"/>
      <c r="D19" s="255"/>
      <c r="E19" s="255"/>
    </row>
    <row r="20" spans="1:6" ht="16.5" customHeight="1" x14ac:dyDescent="0.3">
      <c r="A20" s="253" t="s">
        <v>8</v>
      </c>
      <c r="B20" s="257">
        <v>22.8</v>
      </c>
      <c r="C20" s="255"/>
      <c r="D20" s="255"/>
      <c r="E20" s="255"/>
    </row>
    <row r="21" spans="1:6" ht="16.5" customHeight="1" x14ac:dyDescent="0.3">
      <c r="A21" s="253" t="s">
        <v>10</v>
      </c>
      <c r="B21" s="258">
        <f>B20/[1]NEVIRAPINE!B98</f>
        <v>0.22800000000000001</v>
      </c>
      <c r="C21" s="255"/>
      <c r="D21" s="255"/>
      <c r="E21" s="255"/>
    </row>
    <row r="22" spans="1:6" ht="15.75" customHeight="1" x14ac:dyDescent="0.25">
      <c r="A22" s="255"/>
      <c r="B22" s="255"/>
      <c r="C22" s="255"/>
      <c r="D22" s="255"/>
      <c r="E22" s="255"/>
    </row>
    <row r="23" spans="1:6" ht="16.5" customHeight="1" x14ac:dyDescent="0.3">
      <c r="A23" s="259" t="s">
        <v>13</v>
      </c>
      <c r="B23" s="260" t="s">
        <v>14</v>
      </c>
      <c r="C23" s="259" t="s">
        <v>15</v>
      </c>
      <c r="D23" s="259" t="s">
        <v>16</v>
      </c>
      <c r="E23" s="259" t="s">
        <v>17</v>
      </c>
    </row>
    <row r="24" spans="1:6" ht="16.5" customHeight="1" x14ac:dyDescent="0.3">
      <c r="A24" s="261">
        <v>1</v>
      </c>
      <c r="B24" s="262">
        <v>56237772</v>
      </c>
      <c r="C24" s="262">
        <v>6248.8</v>
      </c>
      <c r="D24" s="263">
        <v>1.2</v>
      </c>
      <c r="E24" s="264">
        <v>2.9</v>
      </c>
    </row>
    <row r="25" spans="1:6" ht="16.5" customHeight="1" x14ac:dyDescent="0.3">
      <c r="A25" s="261">
        <v>2</v>
      </c>
      <c r="B25" s="262">
        <v>56315421</v>
      </c>
      <c r="C25" s="262">
        <v>6181.1</v>
      </c>
      <c r="D25" s="263">
        <v>1.2</v>
      </c>
      <c r="E25" s="263">
        <v>2.9</v>
      </c>
    </row>
    <row r="26" spans="1:6" ht="16.5" customHeight="1" x14ac:dyDescent="0.3">
      <c r="A26" s="261">
        <v>3</v>
      </c>
      <c r="B26" s="262">
        <v>56114963</v>
      </c>
      <c r="C26" s="262">
        <v>6166.2</v>
      </c>
      <c r="D26" s="263">
        <v>1.2</v>
      </c>
      <c r="E26" s="263">
        <v>2.9</v>
      </c>
    </row>
    <row r="27" spans="1:6" ht="16.5" customHeight="1" x14ac:dyDescent="0.3">
      <c r="A27" s="261">
        <v>4</v>
      </c>
      <c r="B27" s="262">
        <v>56384667</v>
      </c>
      <c r="C27" s="262">
        <v>6193.7</v>
      </c>
      <c r="D27" s="263">
        <v>1.2</v>
      </c>
      <c r="E27" s="263">
        <v>2.9</v>
      </c>
    </row>
    <row r="28" spans="1:6" ht="16.5" customHeight="1" x14ac:dyDescent="0.3">
      <c r="A28" s="261">
        <v>5</v>
      </c>
      <c r="B28" s="262">
        <v>56216737</v>
      </c>
      <c r="C28" s="262">
        <v>6202.5</v>
      </c>
      <c r="D28" s="263">
        <v>1.2</v>
      </c>
      <c r="E28" s="263">
        <v>2.9</v>
      </c>
    </row>
    <row r="29" spans="1:6" ht="16.5" customHeight="1" x14ac:dyDescent="0.3">
      <c r="A29" s="261">
        <v>6</v>
      </c>
      <c r="B29" s="265">
        <v>56256768</v>
      </c>
      <c r="C29" s="265">
        <v>6182.2</v>
      </c>
      <c r="D29" s="266">
        <v>1.2</v>
      </c>
      <c r="E29" s="266">
        <v>2.9</v>
      </c>
    </row>
    <row r="30" spans="1:6" ht="16.5" customHeight="1" x14ac:dyDescent="0.3">
      <c r="A30" s="267" t="s">
        <v>18</v>
      </c>
      <c r="B30" s="268">
        <f>AVERAGE(B24:B29)</f>
        <v>56254388</v>
      </c>
      <c r="C30" s="269">
        <f>AVERAGE(C24:C29)</f>
        <v>6195.75</v>
      </c>
      <c r="D30" s="270">
        <f>AVERAGE(D24:D29)</f>
        <v>1.2</v>
      </c>
      <c r="E30" s="270">
        <f>AVERAGE(E24:E29)</f>
        <v>2.9</v>
      </c>
    </row>
    <row r="31" spans="1:6" ht="16.5" customHeight="1" x14ac:dyDescent="0.3">
      <c r="A31" s="271" t="s">
        <v>19</v>
      </c>
      <c r="B31" s="272">
        <f>(STDEV(B24:B29)/B30)</f>
        <v>1.6260555551935326E-3</v>
      </c>
      <c r="C31" s="273"/>
      <c r="D31" s="273"/>
      <c r="E31" s="274"/>
      <c r="F31" s="2"/>
    </row>
    <row r="32" spans="1:6" s="2" customFormat="1" ht="16.5" customHeight="1" x14ac:dyDescent="0.3">
      <c r="A32" s="275" t="s">
        <v>20</v>
      </c>
      <c r="B32" s="276">
        <f>COUNT(B24:B29)</f>
        <v>6</v>
      </c>
      <c r="C32" s="277"/>
      <c r="D32" s="278"/>
      <c r="E32" s="279"/>
    </row>
    <row r="33" spans="1:6" s="2" customFormat="1" ht="15.75" customHeight="1" x14ac:dyDescent="0.25">
      <c r="A33" s="255"/>
      <c r="B33" s="255"/>
      <c r="C33" s="255"/>
      <c r="D33" s="255"/>
      <c r="E33" s="255"/>
    </row>
    <row r="34" spans="1:6" s="2" customFormat="1" ht="16.5" customHeight="1" x14ac:dyDescent="0.3">
      <c r="A34" s="256" t="s">
        <v>21</v>
      </c>
      <c r="B34" s="280" t="s">
        <v>22</v>
      </c>
      <c r="C34" s="281"/>
      <c r="D34" s="281"/>
      <c r="E34" s="281"/>
    </row>
    <row r="35" spans="1:6" ht="16.5" customHeight="1" x14ac:dyDescent="0.3">
      <c r="A35" s="256"/>
      <c r="B35" s="280" t="s">
        <v>23</v>
      </c>
      <c r="C35" s="281"/>
      <c r="D35" s="281"/>
      <c r="E35" s="281"/>
      <c r="F35" s="2"/>
    </row>
    <row r="36" spans="1:6" ht="16.5" customHeight="1" x14ac:dyDescent="0.3">
      <c r="A36" s="256"/>
      <c r="B36" s="280" t="s">
        <v>24</v>
      </c>
      <c r="C36" s="281"/>
      <c r="D36" s="281"/>
      <c r="E36" s="281"/>
    </row>
    <row r="37" spans="1:6" ht="15.75" customHeight="1" x14ac:dyDescent="0.25">
      <c r="A37" s="255"/>
      <c r="B37" s="255"/>
      <c r="C37" s="255"/>
      <c r="D37" s="255"/>
      <c r="E37" s="255"/>
    </row>
    <row r="38" spans="1:6" ht="16.5" customHeight="1" x14ac:dyDescent="0.3">
      <c r="A38" s="250" t="s">
        <v>1</v>
      </c>
      <c r="B38" s="251" t="s">
        <v>25</v>
      </c>
      <c r="C38" s="252"/>
      <c r="D38" s="252"/>
      <c r="E38" s="252"/>
    </row>
    <row r="39" spans="1:6" ht="16.5" customHeight="1" x14ac:dyDescent="0.3">
      <c r="A39" s="256" t="s">
        <v>4</v>
      </c>
      <c r="B39" s="253" t="s">
        <v>128</v>
      </c>
      <c r="C39" s="255"/>
      <c r="D39" s="255"/>
      <c r="E39" s="255"/>
    </row>
    <row r="40" spans="1:6" ht="16.5" customHeight="1" x14ac:dyDescent="0.3">
      <c r="A40" s="256" t="s">
        <v>6</v>
      </c>
      <c r="B40" s="257">
        <v>99.15</v>
      </c>
      <c r="C40" s="255"/>
      <c r="D40" s="255"/>
      <c r="E40" s="255"/>
    </row>
    <row r="41" spans="1:6" ht="16.5" customHeight="1" x14ac:dyDescent="0.3">
      <c r="A41" s="253" t="s">
        <v>8</v>
      </c>
      <c r="B41" s="257">
        <v>24.32</v>
      </c>
      <c r="C41" s="255"/>
      <c r="D41" s="255"/>
      <c r="E41" s="255"/>
    </row>
    <row r="42" spans="1:6" ht="16.5" customHeight="1" x14ac:dyDescent="0.3">
      <c r="A42" s="253" t="s">
        <v>10</v>
      </c>
      <c r="B42" s="258">
        <v>0.2</v>
      </c>
      <c r="C42" s="255"/>
      <c r="D42" s="255"/>
      <c r="E42" s="255"/>
    </row>
    <row r="43" spans="1:6" ht="15.75" customHeight="1" x14ac:dyDescent="0.25">
      <c r="A43" s="255"/>
      <c r="B43" s="255"/>
      <c r="C43" s="255"/>
      <c r="D43" s="255"/>
      <c r="E43" s="255"/>
    </row>
    <row r="44" spans="1:6" ht="16.5" customHeight="1" x14ac:dyDescent="0.3">
      <c r="A44" s="259" t="s">
        <v>13</v>
      </c>
      <c r="B44" s="260" t="s">
        <v>14</v>
      </c>
      <c r="C44" s="259" t="s">
        <v>15</v>
      </c>
      <c r="D44" s="259" t="s">
        <v>16</v>
      </c>
      <c r="E44" s="259" t="s">
        <v>17</v>
      </c>
    </row>
    <row r="45" spans="1:6" ht="16.5" customHeight="1" x14ac:dyDescent="0.3">
      <c r="A45" s="261">
        <v>1</v>
      </c>
      <c r="B45" s="262">
        <v>62355110</v>
      </c>
      <c r="C45" s="262">
        <v>6467.1</v>
      </c>
      <c r="D45" s="263">
        <v>1.1000000000000001</v>
      </c>
      <c r="E45" s="264">
        <v>5.2</v>
      </c>
    </row>
    <row r="46" spans="1:6" ht="16.5" customHeight="1" x14ac:dyDescent="0.3">
      <c r="A46" s="261">
        <v>2</v>
      </c>
      <c r="B46" s="262">
        <v>62194857</v>
      </c>
      <c r="C46" s="262">
        <v>6688</v>
      </c>
      <c r="D46" s="263">
        <v>1.1000000000000001</v>
      </c>
      <c r="E46" s="263">
        <v>5.2</v>
      </c>
    </row>
    <row r="47" spans="1:6" ht="16.5" customHeight="1" x14ac:dyDescent="0.3">
      <c r="A47" s="261">
        <v>3</v>
      </c>
      <c r="B47" s="262">
        <v>62240540</v>
      </c>
      <c r="C47" s="262">
        <v>6697.6</v>
      </c>
      <c r="D47" s="263">
        <v>1.1000000000000001</v>
      </c>
      <c r="E47" s="263">
        <v>5.2</v>
      </c>
    </row>
    <row r="48" spans="1:6" ht="16.5" customHeight="1" x14ac:dyDescent="0.3">
      <c r="A48" s="261">
        <v>4</v>
      </c>
      <c r="B48" s="262">
        <v>62080178</v>
      </c>
      <c r="C48" s="262">
        <v>6671.1</v>
      </c>
      <c r="D48" s="263">
        <v>1.1000000000000001</v>
      </c>
      <c r="E48" s="263">
        <v>5.2</v>
      </c>
    </row>
    <row r="49" spans="1:7" ht="16.5" customHeight="1" x14ac:dyDescent="0.3">
      <c r="A49" s="261">
        <v>5</v>
      </c>
      <c r="B49" s="262">
        <v>62487633</v>
      </c>
      <c r="C49" s="262">
        <v>6700.3</v>
      </c>
      <c r="D49" s="263">
        <v>1.1000000000000001</v>
      </c>
      <c r="E49" s="263">
        <v>5.2</v>
      </c>
    </row>
    <row r="50" spans="1:7" ht="16.5" customHeight="1" x14ac:dyDescent="0.3">
      <c r="A50" s="261">
        <v>6</v>
      </c>
      <c r="B50" s="265">
        <v>62461086</v>
      </c>
      <c r="C50" s="265">
        <v>6676.4</v>
      </c>
      <c r="D50" s="266">
        <v>1.1000000000000001</v>
      </c>
      <c r="E50" s="266">
        <v>5.2</v>
      </c>
    </row>
    <row r="51" spans="1:7" ht="16.5" customHeight="1" x14ac:dyDescent="0.3">
      <c r="A51" s="267" t="s">
        <v>18</v>
      </c>
      <c r="B51" s="268">
        <v>62303234</v>
      </c>
      <c r="C51" s="269">
        <v>6650.0833333333348</v>
      </c>
      <c r="D51" s="270">
        <v>1.0999999999999999</v>
      </c>
      <c r="E51" s="270">
        <v>5.2</v>
      </c>
    </row>
    <row r="52" spans="1:7" ht="16.5" customHeight="1" x14ac:dyDescent="0.3">
      <c r="A52" s="271" t="s">
        <v>19</v>
      </c>
      <c r="B52" s="272">
        <f>(STDEV(B45:B50)/B51)</f>
        <v>2.5584512001875326E-3</v>
      </c>
      <c r="C52" s="273"/>
      <c r="D52" s="273"/>
      <c r="E52" s="274"/>
      <c r="F52" s="2"/>
    </row>
    <row r="53" spans="1:7" s="2" customFormat="1" ht="16.5" customHeight="1" x14ac:dyDescent="0.3">
      <c r="A53" s="275" t="s">
        <v>20</v>
      </c>
      <c r="B53" s="276">
        <f>COUNT(B45:B50)</f>
        <v>6</v>
      </c>
      <c r="C53" s="277"/>
      <c r="D53" s="278"/>
      <c r="E53" s="279"/>
    </row>
    <row r="54" spans="1:7" s="2" customFormat="1" ht="15.75" customHeight="1" x14ac:dyDescent="0.25">
      <c r="A54" s="255"/>
      <c r="B54" s="255"/>
      <c r="C54" s="255"/>
      <c r="D54" s="255"/>
      <c r="E54" s="255"/>
    </row>
    <row r="55" spans="1:7" s="2" customFormat="1" ht="16.5" customHeight="1" x14ac:dyDescent="0.3">
      <c r="A55" s="256" t="s">
        <v>21</v>
      </c>
      <c r="B55" s="280" t="s">
        <v>22</v>
      </c>
      <c r="C55" s="281"/>
      <c r="D55" s="281"/>
      <c r="E55" s="281"/>
    </row>
    <row r="56" spans="1:7" ht="16.5" customHeight="1" x14ac:dyDescent="0.3">
      <c r="A56" s="256"/>
      <c r="B56" s="280" t="s">
        <v>23</v>
      </c>
      <c r="C56" s="281"/>
      <c r="D56" s="281"/>
      <c r="E56" s="281"/>
      <c r="F56" s="2"/>
    </row>
    <row r="57" spans="1:7" ht="16.5" customHeight="1" x14ac:dyDescent="0.3">
      <c r="A57" s="256"/>
      <c r="B57" s="280" t="s">
        <v>24</v>
      </c>
      <c r="C57" s="281"/>
      <c r="D57" s="281"/>
      <c r="E57" s="281"/>
    </row>
    <row r="58" spans="1:7" ht="14.25" customHeight="1" x14ac:dyDescent="0.25">
      <c r="A58" s="6"/>
      <c r="B58" s="7"/>
      <c r="D58" s="8"/>
      <c r="F58" s="9"/>
      <c r="G58" s="9"/>
    </row>
    <row r="59" spans="1:7" ht="15" customHeight="1" x14ac:dyDescent="0.3">
      <c r="B59" s="283" t="s">
        <v>26</v>
      </c>
      <c r="C59" s="283"/>
      <c r="E59" s="10" t="s">
        <v>27</v>
      </c>
      <c r="F59" s="11"/>
      <c r="G59" s="10" t="s">
        <v>28</v>
      </c>
    </row>
    <row r="60" spans="1:7" ht="15" customHeight="1" x14ac:dyDescent="0.3">
      <c r="A60" s="12" t="s">
        <v>29</v>
      </c>
      <c r="B60" s="13"/>
      <c r="C60" s="13"/>
      <c r="E60" s="13"/>
      <c r="F60" s="2"/>
      <c r="G60" s="14"/>
    </row>
    <row r="61" spans="1:7" ht="15" customHeight="1" x14ac:dyDescent="0.3">
      <c r="A61" s="12" t="s">
        <v>30</v>
      </c>
      <c r="B61" s="15"/>
      <c r="C61" s="15"/>
      <c r="E61" s="15"/>
      <c r="F61" s="2"/>
      <c r="G61" s="1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A19" sqref="A19:B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56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55"/>
    </row>
    <row r="14" spans="1:7" ht="16.5" customHeight="1" x14ac:dyDescent="0.3">
      <c r="A14" s="291" t="s">
        <v>33</v>
      </c>
      <c r="B14" s="291"/>
      <c r="C14" s="25" t="s">
        <v>5</v>
      </c>
    </row>
    <row r="15" spans="1:7" ht="16.5" customHeight="1" x14ac:dyDescent="0.3">
      <c r="A15" s="291" t="s">
        <v>34</v>
      </c>
      <c r="B15" s="291"/>
      <c r="C15" s="25" t="s">
        <v>7</v>
      </c>
    </row>
    <row r="16" spans="1:7" ht="16.5" customHeight="1" x14ac:dyDescent="0.3">
      <c r="A16" s="291" t="s">
        <v>35</v>
      </c>
      <c r="B16" s="291"/>
      <c r="C16" s="25" t="s">
        <v>9</v>
      </c>
    </row>
    <row r="17" spans="1:5" ht="16.5" customHeight="1" x14ac:dyDescent="0.3">
      <c r="A17" s="291" t="s">
        <v>36</v>
      </c>
      <c r="B17" s="291"/>
      <c r="C17" s="25" t="s">
        <v>11</v>
      </c>
    </row>
    <row r="18" spans="1:5" ht="16.5" customHeight="1" x14ac:dyDescent="0.3">
      <c r="A18" s="291" t="s">
        <v>37</v>
      </c>
      <c r="B18" s="291"/>
      <c r="C18" s="62" t="s">
        <v>12</v>
      </c>
    </row>
    <row r="19" spans="1:5" ht="16.5" customHeight="1" x14ac:dyDescent="0.3">
      <c r="A19" s="291" t="s">
        <v>38</v>
      </c>
      <c r="B19" s="291"/>
      <c r="C19" s="62" t="e">
        <f>#REF!</f>
        <v>#REF!</v>
      </c>
    </row>
    <row r="20" spans="1:5" ht="16.5" customHeight="1" x14ac:dyDescent="0.3">
      <c r="A20" s="27"/>
      <c r="B20" s="27"/>
      <c r="C20" s="42"/>
    </row>
    <row r="21" spans="1:5" ht="16.5" customHeight="1" x14ac:dyDescent="0.3">
      <c r="A21" s="286" t="s">
        <v>1</v>
      </c>
      <c r="B21" s="286"/>
      <c r="C21" s="24" t="s">
        <v>39</v>
      </c>
      <c r="D21" s="31"/>
    </row>
    <row r="22" spans="1:5" ht="15.75" customHeight="1" x14ac:dyDescent="0.3">
      <c r="A22" s="290"/>
      <c r="B22" s="290"/>
      <c r="C22" s="22"/>
      <c r="D22" s="290"/>
      <c r="E22" s="290"/>
    </row>
    <row r="23" spans="1:5" ht="33.75" customHeight="1" x14ac:dyDescent="0.3">
      <c r="C23" s="51" t="s">
        <v>40</v>
      </c>
      <c r="D23" s="50" t="s">
        <v>41</v>
      </c>
      <c r="E23" s="17"/>
    </row>
    <row r="24" spans="1:5" ht="15.75" customHeight="1" x14ac:dyDescent="0.3">
      <c r="C24" s="60">
        <v>793.65</v>
      </c>
      <c r="D24" s="52">
        <f t="shared" ref="D24:D43" si="0">(C24-$C$46)/$C$46</f>
        <v>-1.2749728044363908E-2</v>
      </c>
      <c r="E24" s="18"/>
    </row>
    <row r="25" spans="1:5" ht="15.75" customHeight="1" x14ac:dyDescent="0.3">
      <c r="C25" s="60">
        <v>800.4</v>
      </c>
      <c r="D25" s="53">
        <f t="shared" si="0"/>
        <v>-4.3531560848092642E-3</v>
      </c>
      <c r="E25" s="18"/>
    </row>
    <row r="26" spans="1:5" ht="15.75" customHeight="1" x14ac:dyDescent="0.3">
      <c r="C26" s="60">
        <v>811.65</v>
      </c>
      <c r="D26" s="53">
        <f t="shared" si="0"/>
        <v>9.6411305144484764E-3</v>
      </c>
      <c r="E26" s="18"/>
    </row>
    <row r="27" spans="1:5" ht="15.75" customHeight="1" x14ac:dyDescent="0.3">
      <c r="C27" s="60">
        <v>801.29</v>
      </c>
      <c r="D27" s="53">
        <f t="shared" si="0"/>
        <v>-3.2460525227346686E-3</v>
      </c>
      <c r="E27" s="18"/>
    </row>
    <row r="28" spans="1:5" ht="15.75" customHeight="1" x14ac:dyDescent="0.3">
      <c r="C28" s="60">
        <v>797.31</v>
      </c>
      <c r="D28" s="53">
        <f t="shared" si="0"/>
        <v>-8.1969201374054307E-3</v>
      </c>
      <c r="E28" s="18"/>
    </row>
    <row r="29" spans="1:5" ht="15.75" customHeight="1" x14ac:dyDescent="0.3">
      <c r="C29" s="60">
        <v>807.73</v>
      </c>
      <c r="D29" s="53">
        <f t="shared" si="0"/>
        <v>4.7648990949738304E-3</v>
      </c>
      <c r="E29" s="18"/>
    </row>
    <row r="30" spans="1:5" ht="15.75" customHeight="1" x14ac:dyDescent="0.3">
      <c r="C30" s="60">
        <v>799.55</v>
      </c>
      <c r="D30" s="53">
        <f t="shared" si="0"/>
        <v>-5.4105021834198776E-3</v>
      </c>
      <c r="E30" s="18"/>
    </row>
    <row r="31" spans="1:5" ht="15.75" customHeight="1" x14ac:dyDescent="0.3">
      <c r="C31" s="60">
        <v>819.68</v>
      </c>
      <c r="D31" s="53">
        <f t="shared" si="0"/>
        <v>1.9629941304851968E-2</v>
      </c>
      <c r="E31" s="18"/>
    </row>
    <row r="32" spans="1:5" ht="15.75" customHeight="1" x14ac:dyDescent="0.3">
      <c r="C32" s="60">
        <v>797.58</v>
      </c>
      <c r="D32" s="53">
        <f t="shared" si="0"/>
        <v>-7.8610572590231253E-3</v>
      </c>
      <c r="E32" s="18"/>
    </row>
    <row r="33" spans="1:7" ht="15.75" customHeight="1" x14ac:dyDescent="0.3">
      <c r="C33" s="60">
        <v>811.9</v>
      </c>
      <c r="D33" s="53">
        <f t="shared" si="0"/>
        <v>9.9521146610986495E-3</v>
      </c>
      <c r="E33" s="18"/>
    </row>
    <row r="34" spans="1:7" ht="15.75" customHeight="1" x14ac:dyDescent="0.3">
      <c r="C34" s="60">
        <v>815.88</v>
      </c>
      <c r="D34" s="53">
        <f t="shared" si="0"/>
        <v>1.4902982275769411E-2</v>
      </c>
      <c r="E34" s="18"/>
    </row>
    <row r="35" spans="1:7" ht="15.75" customHeight="1" x14ac:dyDescent="0.3">
      <c r="C35" s="60">
        <v>794.41</v>
      </c>
      <c r="D35" s="53">
        <f t="shared" si="0"/>
        <v>-1.1804336238547397E-2</v>
      </c>
      <c r="E35" s="18"/>
    </row>
    <row r="36" spans="1:7" ht="15.75" customHeight="1" x14ac:dyDescent="0.3">
      <c r="C36" s="60">
        <v>810.04</v>
      </c>
      <c r="D36" s="53">
        <f t="shared" si="0"/>
        <v>7.6383926100213519E-3</v>
      </c>
      <c r="E36" s="18"/>
    </row>
    <row r="37" spans="1:7" ht="15.75" customHeight="1" x14ac:dyDescent="0.3">
      <c r="C37" s="60">
        <v>806.68</v>
      </c>
      <c r="D37" s="53">
        <f t="shared" si="0"/>
        <v>3.4587656790430231E-3</v>
      </c>
      <c r="E37" s="18"/>
    </row>
    <row r="38" spans="1:7" ht="15.75" customHeight="1" x14ac:dyDescent="0.3">
      <c r="C38" s="60">
        <v>789.94</v>
      </c>
      <c r="D38" s="53">
        <f t="shared" si="0"/>
        <v>-1.7364732780652366E-2</v>
      </c>
      <c r="E38" s="18"/>
    </row>
    <row r="39" spans="1:7" ht="15.75" customHeight="1" x14ac:dyDescent="0.3">
      <c r="C39" s="60">
        <v>797.74</v>
      </c>
      <c r="D39" s="53">
        <f t="shared" si="0"/>
        <v>-7.6620274051670554E-3</v>
      </c>
      <c r="E39" s="18"/>
    </row>
    <row r="40" spans="1:7" ht="15.75" customHeight="1" x14ac:dyDescent="0.3">
      <c r="C40" s="60">
        <v>792.56</v>
      </c>
      <c r="D40" s="53">
        <f t="shared" si="0"/>
        <v>-1.4105618923758698E-2</v>
      </c>
      <c r="E40" s="18"/>
    </row>
    <row r="41" spans="1:7" ht="15.75" customHeight="1" x14ac:dyDescent="0.3">
      <c r="C41" s="60">
        <v>815.21</v>
      </c>
      <c r="D41" s="53">
        <f t="shared" si="0"/>
        <v>1.4069544762747001E-2</v>
      </c>
      <c r="E41" s="18"/>
    </row>
    <row r="42" spans="1:7" ht="15.75" customHeight="1" x14ac:dyDescent="0.3">
      <c r="C42" s="60">
        <v>795.83</v>
      </c>
      <c r="D42" s="53">
        <f t="shared" si="0"/>
        <v>-1.0037946285574329E-2</v>
      </c>
      <c r="E42" s="18"/>
    </row>
    <row r="43" spans="1:7" ht="16.5" customHeight="1" x14ac:dyDescent="0.3">
      <c r="C43" s="61">
        <v>818.96</v>
      </c>
      <c r="D43" s="54">
        <f t="shared" si="0"/>
        <v>1.8734306962499579E-2</v>
      </c>
      <c r="E43" s="18"/>
    </row>
    <row r="44" spans="1:7" ht="16.5" customHeight="1" x14ac:dyDescent="0.3">
      <c r="C44" s="19"/>
      <c r="D44" s="18"/>
      <c r="E44" s="20"/>
    </row>
    <row r="45" spans="1:7" ht="16.5" customHeight="1" x14ac:dyDescent="0.3">
      <c r="B45" s="47" t="s">
        <v>42</v>
      </c>
      <c r="C45" s="48">
        <f>SUM(C24:C44)</f>
        <v>16077.990000000002</v>
      </c>
      <c r="D45" s="43"/>
      <c r="E45" s="19"/>
    </row>
    <row r="46" spans="1:7" ht="17.25" customHeight="1" x14ac:dyDescent="0.3">
      <c r="B46" s="47" t="s">
        <v>43</v>
      </c>
      <c r="C46" s="49">
        <f>AVERAGE(C24:C44)</f>
        <v>803.8995000000001</v>
      </c>
      <c r="E46" s="21"/>
    </row>
    <row r="47" spans="1:7" ht="17.25" customHeight="1" x14ac:dyDescent="0.3">
      <c r="A47" s="25"/>
      <c r="B47" s="44"/>
      <c r="D47" s="23"/>
      <c r="E47" s="21"/>
    </row>
    <row r="48" spans="1:7" ht="33.75" customHeight="1" x14ac:dyDescent="0.3">
      <c r="B48" s="57" t="s">
        <v>43</v>
      </c>
      <c r="C48" s="50" t="s">
        <v>44</v>
      </c>
      <c r="D48" s="45"/>
      <c r="G48" s="23"/>
    </row>
    <row r="49" spans="1:6" ht="17.25" customHeight="1" x14ac:dyDescent="0.3">
      <c r="B49" s="284">
        <f>C46</f>
        <v>803.8995000000001</v>
      </c>
      <c r="C49" s="58">
        <f>-IF(C46&lt;=80,10%,IF(C46&lt;250,7.5%,5%))</f>
        <v>-0.05</v>
      </c>
      <c r="D49" s="46">
        <f>IF(C46&lt;=80,C46*0.9,IF(C46&lt;250,C46*0.925,C46*0.95))</f>
        <v>763.7045250000001</v>
      </c>
    </row>
    <row r="50" spans="1:6" ht="17.25" customHeight="1" x14ac:dyDescent="0.3">
      <c r="B50" s="285"/>
      <c r="C50" s="59">
        <f>IF(C46&lt;=80, 10%, IF(C46&lt;250, 7.5%, 5%))</f>
        <v>0.05</v>
      </c>
      <c r="D50" s="46">
        <f>IF(C46&lt;=80, C46*1.1, IF(C46&lt;250, C46*1.075, C46*1.05))</f>
        <v>844.0944750000001</v>
      </c>
    </row>
    <row r="51" spans="1:6" ht="16.5" customHeight="1" x14ac:dyDescent="0.3">
      <c r="A51" s="28"/>
      <c r="B51" s="29"/>
      <c r="C51" s="25"/>
      <c r="D51" s="30"/>
      <c r="E51" s="25"/>
      <c r="F51" s="31"/>
    </row>
    <row r="52" spans="1:6" ht="16.5" customHeight="1" x14ac:dyDescent="0.3">
      <c r="A52" s="25"/>
      <c r="B52" s="32" t="s">
        <v>26</v>
      </c>
      <c r="C52" s="32"/>
      <c r="D52" s="33" t="s">
        <v>27</v>
      </c>
      <c r="E52" s="34"/>
      <c r="F52" s="33" t="s">
        <v>28</v>
      </c>
    </row>
    <row r="53" spans="1:6" ht="34.5" customHeight="1" x14ac:dyDescent="0.3">
      <c r="A53" s="35" t="s">
        <v>29</v>
      </c>
      <c r="B53" s="36"/>
      <c r="C53" s="37"/>
      <c r="D53" s="36"/>
      <c r="E53" s="26"/>
      <c r="F53" s="38"/>
    </row>
    <row r="54" spans="1:6" ht="34.5" customHeight="1" x14ac:dyDescent="0.3">
      <c r="A54" s="35" t="s">
        <v>30</v>
      </c>
      <c r="B54" s="39"/>
      <c r="C54" s="40"/>
      <c r="D54" s="39"/>
      <c r="E54" s="26"/>
      <c r="F54" s="41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60" zoomScaleNormal="40" zoomScalePageLayoutView="55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2" t="s">
        <v>45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25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25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25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25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25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25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25">
      <c r="A8" s="293" t="s">
        <v>46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25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25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25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25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25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25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x14ac:dyDescent="0.3">
      <c r="A15" s="63"/>
    </row>
    <row r="16" spans="1:9" ht="19.5" customHeight="1" x14ac:dyDescent="0.3">
      <c r="A16" s="326" t="s">
        <v>31</v>
      </c>
      <c r="B16" s="327"/>
      <c r="C16" s="327"/>
      <c r="D16" s="327"/>
      <c r="E16" s="327"/>
      <c r="F16" s="327"/>
      <c r="G16" s="327"/>
      <c r="H16" s="328"/>
    </row>
    <row r="17" spans="1:14" ht="20.25" customHeight="1" x14ac:dyDescent="0.25">
      <c r="A17" s="329" t="s">
        <v>47</v>
      </c>
      <c r="B17" s="329"/>
      <c r="C17" s="329"/>
      <c r="D17" s="329"/>
      <c r="E17" s="329"/>
      <c r="F17" s="329"/>
      <c r="G17" s="329"/>
      <c r="H17" s="329"/>
    </row>
    <row r="18" spans="1:14" ht="26.25" customHeight="1" x14ac:dyDescent="0.4">
      <c r="A18" s="65" t="s">
        <v>33</v>
      </c>
      <c r="B18" s="325" t="s">
        <v>5</v>
      </c>
      <c r="C18" s="325"/>
      <c r="D18" s="235"/>
      <c r="E18" s="66"/>
      <c r="F18" s="67"/>
      <c r="G18" s="67"/>
      <c r="H18" s="67"/>
    </row>
    <row r="19" spans="1:14" ht="26.25" customHeight="1" x14ac:dyDescent="0.4">
      <c r="A19" s="65" t="s">
        <v>34</v>
      </c>
      <c r="B19" s="68" t="s">
        <v>7</v>
      </c>
      <c r="C19" s="237">
        <v>1</v>
      </c>
      <c r="D19" s="67"/>
      <c r="E19" s="67"/>
      <c r="F19" s="67"/>
      <c r="G19" s="67"/>
      <c r="H19" s="67"/>
    </row>
    <row r="20" spans="1:14" ht="26.25" customHeight="1" x14ac:dyDescent="0.4">
      <c r="A20" s="65" t="s">
        <v>35</v>
      </c>
      <c r="B20" s="330" t="s">
        <v>9</v>
      </c>
      <c r="C20" s="330"/>
      <c r="D20" s="67"/>
      <c r="E20" s="67"/>
      <c r="F20" s="67"/>
      <c r="G20" s="67"/>
      <c r="H20" s="67"/>
    </row>
    <row r="21" spans="1:14" ht="26.25" customHeight="1" x14ac:dyDescent="0.4">
      <c r="A21" s="65" t="s">
        <v>36</v>
      </c>
      <c r="B21" s="330" t="s">
        <v>11</v>
      </c>
      <c r="C21" s="330"/>
      <c r="D21" s="330"/>
      <c r="E21" s="330"/>
      <c r="F21" s="330"/>
      <c r="G21" s="330"/>
      <c r="H21" s="330"/>
      <c r="I21" s="69"/>
    </row>
    <row r="22" spans="1:14" ht="26.25" customHeight="1" x14ac:dyDescent="0.4">
      <c r="A22" s="65" t="s">
        <v>37</v>
      </c>
      <c r="B22" s="70" t="s">
        <v>12</v>
      </c>
      <c r="C22" s="67"/>
      <c r="D22" s="67"/>
      <c r="E22" s="67"/>
      <c r="F22" s="67"/>
      <c r="G22" s="67"/>
      <c r="H22" s="67"/>
    </row>
    <row r="23" spans="1:14" ht="26.25" customHeight="1" x14ac:dyDescent="0.4">
      <c r="A23" s="65" t="s">
        <v>38</v>
      </c>
      <c r="B23" s="70"/>
      <c r="C23" s="67"/>
      <c r="D23" s="67"/>
      <c r="E23" s="67"/>
      <c r="F23" s="67"/>
      <c r="G23" s="67"/>
      <c r="H23" s="67"/>
    </row>
    <row r="24" spans="1:14" ht="18.75" x14ac:dyDescent="0.3">
      <c r="A24" s="65"/>
      <c r="B24" s="71"/>
    </row>
    <row r="25" spans="1:14" ht="18.75" x14ac:dyDescent="0.3">
      <c r="A25" s="72" t="s">
        <v>1</v>
      </c>
      <c r="B25" s="71"/>
    </row>
    <row r="26" spans="1:14" ht="26.25" customHeight="1" x14ac:dyDescent="0.4">
      <c r="A26" s="73" t="s">
        <v>4</v>
      </c>
      <c r="B26" s="325" t="s">
        <v>125</v>
      </c>
      <c r="C26" s="325"/>
    </row>
    <row r="27" spans="1:14" ht="26.25" customHeight="1" x14ac:dyDescent="0.4">
      <c r="A27" s="74" t="s">
        <v>48</v>
      </c>
      <c r="B27" s="323" t="s">
        <v>126</v>
      </c>
      <c r="C27" s="323"/>
    </row>
    <row r="28" spans="1:14" ht="27" customHeight="1" x14ac:dyDescent="0.4">
      <c r="A28" s="74" t="s">
        <v>6</v>
      </c>
      <c r="B28" s="75">
        <v>99.15</v>
      </c>
    </row>
    <row r="29" spans="1:14" s="5" customFormat="1" ht="27" customHeight="1" x14ac:dyDescent="0.4">
      <c r="A29" s="74" t="s">
        <v>49</v>
      </c>
      <c r="B29" s="76"/>
      <c r="C29" s="300" t="s">
        <v>50</v>
      </c>
      <c r="D29" s="301"/>
      <c r="E29" s="301"/>
      <c r="F29" s="301"/>
      <c r="G29" s="302"/>
      <c r="I29" s="77"/>
      <c r="J29" s="77"/>
      <c r="K29" s="77"/>
      <c r="L29" s="77"/>
    </row>
    <row r="30" spans="1:14" s="5" customFormat="1" ht="19.5" customHeight="1" x14ac:dyDescent="0.3">
      <c r="A30" s="74" t="s">
        <v>51</v>
      </c>
      <c r="B30" s="78">
        <f>B28-B29</f>
        <v>99.15</v>
      </c>
      <c r="C30" s="79"/>
      <c r="D30" s="79"/>
      <c r="E30" s="79"/>
      <c r="F30" s="79"/>
      <c r="G30" s="80"/>
      <c r="I30" s="77"/>
      <c r="J30" s="77"/>
      <c r="K30" s="77"/>
      <c r="L30" s="77"/>
    </row>
    <row r="31" spans="1:14" s="5" customFormat="1" ht="27" customHeight="1" x14ac:dyDescent="0.4">
      <c r="A31" s="74" t="s">
        <v>52</v>
      </c>
      <c r="B31" s="81">
        <v>1</v>
      </c>
      <c r="C31" s="303" t="s">
        <v>53</v>
      </c>
      <c r="D31" s="304"/>
      <c r="E31" s="304"/>
      <c r="F31" s="304"/>
      <c r="G31" s="304"/>
      <c r="H31" s="305"/>
      <c r="I31" s="77"/>
      <c r="J31" s="77"/>
      <c r="K31" s="77"/>
      <c r="L31" s="77"/>
    </row>
    <row r="32" spans="1:14" s="5" customFormat="1" ht="27" customHeight="1" x14ac:dyDescent="0.4">
      <c r="A32" s="74" t="s">
        <v>54</v>
      </c>
      <c r="B32" s="81">
        <v>1</v>
      </c>
      <c r="C32" s="303" t="s">
        <v>55</v>
      </c>
      <c r="D32" s="304"/>
      <c r="E32" s="304"/>
      <c r="F32" s="304"/>
      <c r="G32" s="304"/>
      <c r="H32" s="305"/>
      <c r="I32" s="77"/>
      <c r="J32" s="77"/>
      <c r="K32" s="77"/>
      <c r="L32" s="82"/>
      <c r="M32" s="82"/>
      <c r="N32" s="83"/>
    </row>
    <row r="33" spans="1:14" s="5" customFormat="1" ht="17.25" customHeight="1" x14ac:dyDescent="0.3">
      <c r="A33" s="74"/>
      <c r="B33" s="84"/>
      <c r="C33" s="85"/>
      <c r="D33" s="85"/>
      <c r="E33" s="85"/>
      <c r="F33" s="85"/>
      <c r="G33" s="85"/>
      <c r="H33" s="85"/>
      <c r="I33" s="77"/>
      <c r="J33" s="77"/>
      <c r="K33" s="77"/>
      <c r="L33" s="82"/>
      <c r="M33" s="82"/>
      <c r="N33" s="83"/>
    </row>
    <row r="34" spans="1:14" s="5" customFormat="1" ht="18.75" x14ac:dyDescent="0.3">
      <c r="A34" s="74" t="s">
        <v>56</v>
      </c>
      <c r="B34" s="86">
        <f>B31/B32</f>
        <v>1</v>
      </c>
      <c r="C34" s="64" t="s">
        <v>57</v>
      </c>
      <c r="D34" s="64"/>
      <c r="E34" s="64"/>
      <c r="F34" s="64"/>
      <c r="G34" s="64"/>
      <c r="I34" s="77"/>
      <c r="J34" s="77"/>
      <c r="K34" s="77"/>
      <c r="L34" s="82"/>
      <c r="M34" s="82"/>
      <c r="N34" s="83"/>
    </row>
    <row r="35" spans="1:14" s="5" customFormat="1" ht="19.5" customHeight="1" x14ac:dyDescent="0.3">
      <c r="A35" s="74"/>
      <c r="B35" s="78"/>
      <c r="G35" s="64"/>
      <c r="I35" s="77"/>
      <c r="J35" s="77"/>
      <c r="K35" s="77"/>
      <c r="L35" s="82"/>
      <c r="M35" s="82"/>
      <c r="N35" s="83"/>
    </row>
    <row r="36" spans="1:14" s="5" customFormat="1" ht="27" customHeight="1" x14ac:dyDescent="0.4">
      <c r="A36" s="87" t="s">
        <v>58</v>
      </c>
      <c r="B36" s="88">
        <v>50</v>
      </c>
      <c r="C36" s="64"/>
      <c r="D36" s="306" t="s">
        <v>59</v>
      </c>
      <c r="E36" s="324"/>
      <c r="F36" s="306" t="s">
        <v>60</v>
      </c>
      <c r="G36" s="307"/>
      <c r="J36" s="77"/>
      <c r="K36" s="77"/>
      <c r="L36" s="82"/>
      <c r="M36" s="82"/>
      <c r="N36" s="83"/>
    </row>
    <row r="37" spans="1:14" s="5" customFormat="1" ht="27" customHeight="1" x14ac:dyDescent="0.4">
      <c r="A37" s="89" t="s">
        <v>61</v>
      </c>
      <c r="B37" s="90">
        <v>5</v>
      </c>
      <c r="C37" s="91" t="s">
        <v>62</v>
      </c>
      <c r="D37" s="92" t="s">
        <v>63</v>
      </c>
      <c r="E37" s="93" t="s">
        <v>64</v>
      </c>
      <c r="F37" s="92" t="s">
        <v>63</v>
      </c>
      <c r="G37" s="94" t="s">
        <v>64</v>
      </c>
      <c r="I37" s="95" t="s">
        <v>65</v>
      </c>
      <c r="J37" s="77"/>
      <c r="K37" s="77"/>
      <c r="L37" s="82"/>
      <c r="M37" s="82"/>
      <c r="N37" s="83"/>
    </row>
    <row r="38" spans="1:14" s="5" customFormat="1" ht="26.25" customHeight="1" x14ac:dyDescent="0.4">
      <c r="A38" s="89" t="s">
        <v>66</v>
      </c>
      <c r="B38" s="90">
        <v>10</v>
      </c>
      <c r="C38" s="96">
        <v>1</v>
      </c>
      <c r="D38" s="247">
        <v>59953923</v>
      </c>
      <c r="E38" s="98">
        <f>IF(ISBLANK(D38),"-",$D$48/$D$45*D38)</f>
        <v>53042017.676566601</v>
      </c>
      <c r="F38" s="247">
        <v>59379813</v>
      </c>
      <c r="G38" s="99">
        <f>IF(ISBLANK(F38),"-",$D$48/$F$45*F38)</f>
        <v>51406753.975313768</v>
      </c>
      <c r="I38" s="100"/>
      <c r="J38" s="77"/>
      <c r="K38" s="77"/>
      <c r="L38" s="82"/>
      <c r="M38" s="82"/>
      <c r="N38" s="83"/>
    </row>
    <row r="39" spans="1:14" s="5" customFormat="1" ht="26.25" customHeight="1" x14ac:dyDescent="0.4">
      <c r="A39" s="89" t="s">
        <v>67</v>
      </c>
      <c r="B39" s="90">
        <v>1</v>
      </c>
      <c r="C39" s="101">
        <v>2</v>
      </c>
      <c r="D39" s="248">
        <v>59674043</v>
      </c>
      <c r="E39" s="103">
        <f>IF(ISBLANK(D39),"-",$D$48/$D$45*D39)</f>
        <v>52794404.190000966</v>
      </c>
      <c r="F39" s="248">
        <v>59191834</v>
      </c>
      <c r="G39" s="104">
        <f>IF(ISBLANK(F39),"-",$D$48/$F$45*F39)</f>
        <v>51244015.332039066</v>
      </c>
      <c r="I39" s="308">
        <f>ABS((F43/D43*D42)-F42)/D42</f>
        <v>3.06458192083446E-2</v>
      </c>
      <c r="J39" s="77"/>
      <c r="K39" s="77"/>
      <c r="L39" s="82"/>
      <c r="M39" s="82"/>
      <c r="N39" s="83"/>
    </row>
    <row r="40" spans="1:14" ht="26.25" customHeight="1" x14ac:dyDescent="0.4">
      <c r="A40" s="89" t="s">
        <v>68</v>
      </c>
      <c r="B40" s="90">
        <v>1</v>
      </c>
      <c r="C40" s="101">
        <v>3</v>
      </c>
      <c r="D40" s="248">
        <v>59716224</v>
      </c>
      <c r="E40" s="103">
        <f>IF(ISBLANK(D40),"-",$D$48/$D$45*D40)</f>
        <v>52831722.270881429</v>
      </c>
      <c r="F40" s="248">
        <v>59209380</v>
      </c>
      <c r="G40" s="104">
        <f>IF(ISBLANK(F40),"-",$D$48/$F$45*F40)</f>
        <v>51259205.391752638</v>
      </c>
      <c r="I40" s="308"/>
      <c r="L40" s="82"/>
      <c r="M40" s="82"/>
      <c r="N40" s="105"/>
    </row>
    <row r="41" spans="1:14" ht="27" customHeight="1" x14ac:dyDescent="0.4">
      <c r="A41" s="89" t="s">
        <v>69</v>
      </c>
      <c r="B41" s="90">
        <v>1</v>
      </c>
      <c r="C41" s="106">
        <v>4</v>
      </c>
      <c r="D41" s="249"/>
      <c r="E41" s="108" t="str">
        <f>IF(ISBLANK(D41),"-",$D$48/$D$45*D41)</f>
        <v>-</v>
      </c>
      <c r="F41" s="249"/>
      <c r="G41" s="109" t="str">
        <f>IF(ISBLANK(F41),"-",$D$48/$F$45*F41)</f>
        <v>-</v>
      </c>
      <c r="I41" s="110"/>
      <c r="L41" s="82"/>
      <c r="M41" s="82"/>
      <c r="N41" s="105"/>
    </row>
    <row r="42" spans="1:14" ht="27" customHeight="1" x14ac:dyDescent="0.4">
      <c r="A42" s="89" t="s">
        <v>70</v>
      </c>
      <c r="B42" s="90">
        <v>1</v>
      </c>
      <c r="C42" s="111" t="s">
        <v>71</v>
      </c>
      <c r="D42" s="112">
        <f>AVERAGE(D38:D41)</f>
        <v>59781396.666666664</v>
      </c>
      <c r="E42" s="113">
        <f>AVERAGE(E38:E41)</f>
        <v>52889381.379149668</v>
      </c>
      <c r="F42" s="112">
        <f>AVERAGE(F38:F41)</f>
        <v>59260342.333333336</v>
      </c>
      <c r="G42" s="114">
        <f>AVERAGE(G38:G41)</f>
        <v>51303324.899701826</v>
      </c>
      <c r="H42" s="115"/>
    </row>
    <row r="43" spans="1:14" ht="26.25" customHeight="1" x14ac:dyDescent="0.4">
      <c r="A43" s="89" t="s">
        <v>72</v>
      </c>
      <c r="B43" s="90">
        <v>1</v>
      </c>
      <c r="C43" s="116" t="s">
        <v>73</v>
      </c>
      <c r="D43" s="117">
        <v>22.8</v>
      </c>
      <c r="E43" s="105"/>
      <c r="F43" s="117">
        <v>23.3</v>
      </c>
      <c r="H43" s="115"/>
    </row>
    <row r="44" spans="1:14" ht="26.25" customHeight="1" x14ac:dyDescent="0.4">
      <c r="A44" s="89" t="s">
        <v>74</v>
      </c>
      <c r="B44" s="90">
        <v>1</v>
      </c>
      <c r="C44" s="118" t="s">
        <v>75</v>
      </c>
      <c r="D44" s="119">
        <f>D43*$B$34</f>
        <v>22.8</v>
      </c>
      <c r="E44" s="120"/>
      <c r="F44" s="119">
        <f>F43*$B$34</f>
        <v>23.3</v>
      </c>
      <c r="H44" s="115"/>
    </row>
    <row r="45" spans="1:14" ht="19.5" customHeight="1" x14ac:dyDescent="0.3">
      <c r="A45" s="89" t="s">
        <v>76</v>
      </c>
      <c r="B45" s="121">
        <f>(B44/B43)*(B42/B41)*(B40/B39)*(B38/B37)*B36</f>
        <v>100</v>
      </c>
      <c r="C45" s="118" t="s">
        <v>77</v>
      </c>
      <c r="D45" s="122">
        <f>D44*$B$30/100</f>
        <v>22.606200000000005</v>
      </c>
      <c r="E45" s="123"/>
      <c r="F45" s="122">
        <f>F44*$B$30/100</f>
        <v>23.101950000000002</v>
      </c>
      <c r="H45" s="115"/>
    </row>
    <row r="46" spans="1:14" ht="19.5" customHeight="1" x14ac:dyDescent="0.3">
      <c r="A46" s="294" t="s">
        <v>78</v>
      </c>
      <c r="B46" s="295"/>
      <c r="C46" s="118" t="s">
        <v>79</v>
      </c>
      <c r="D46" s="124">
        <f>D45/$B$45</f>
        <v>0.22606200000000004</v>
      </c>
      <c r="E46" s="125"/>
      <c r="F46" s="126">
        <f>F45/$B$45</f>
        <v>0.23101950000000002</v>
      </c>
      <c r="H46" s="115"/>
    </row>
    <row r="47" spans="1:14" ht="27" customHeight="1" x14ac:dyDescent="0.4">
      <c r="A47" s="296"/>
      <c r="B47" s="297"/>
      <c r="C47" s="127" t="s">
        <v>80</v>
      </c>
      <c r="D47" s="128">
        <v>0.2</v>
      </c>
      <c r="E47" s="129"/>
      <c r="F47" s="125"/>
      <c r="H47" s="115"/>
    </row>
    <row r="48" spans="1:14" ht="18.75" x14ac:dyDescent="0.3">
      <c r="C48" s="130" t="s">
        <v>81</v>
      </c>
      <c r="D48" s="122">
        <f>D47*$B$45</f>
        <v>20</v>
      </c>
      <c r="F48" s="131"/>
      <c r="H48" s="115"/>
    </row>
    <row r="49" spans="1:12" ht="19.5" customHeight="1" x14ac:dyDescent="0.3">
      <c r="C49" s="132" t="s">
        <v>82</v>
      </c>
      <c r="D49" s="133">
        <f>D48/B34</f>
        <v>20</v>
      </c>
      <c r="F49" s="131"/>
      <c r="H49" s="115"/>
    </row>
    <row r="50" spans="1:12" ht="18.75" x14ac:dyDescent="0.3">
      <c r="C50" s="87" t="s">
        <v>83</v>
      </c>
      <c r="D50" s="134">
        <f>AVERAGE(E38:E41,G38:G41)</f>
        <v>52096353.139425747</v>
      </c>
      <c r="F50" s="135"/>
      <c r="H50" s="115"/>
    </row>
    <row r="51" spans="1:12" ht="18.75" x14ac:dyDescent="0.3">
      <c r="C51" s="89" t="s">
        <v>84</v>
      </c>
      <c r="D51" s="136">
        <f>STDEV(E38:E41,G38:G41)/D50</f>
        <v>1.678931224134883E-2</v>
      </c>
      <c r="F51" s="135"/>
      <c r="H51" s="115"/>
    </row>
    <row r="52" spans="1:12" ht="19.5" customHeight="1" x14ac:dyDescent="0.3">
      <c r="C52" s="137" t="s">
        <v>20</v>
      </c>
      <c r="D52" s="138">
        <f>COUNT(E38:E41,G38:G41)</f>
        <v>6</v>
      </c>
      <c r="F52" s="135"/>
    </row>
    <row r="54" spans="1:12" ht="18.75" x14ac:dyDescent="0.3">
      <c r="A54" s="139" t="s">
        <v>1</v>
      </c>
      <c r="B54" s="140" t="s">
        <v>85</v>
      </c>
    </row>
    <row r="55" spans="1:12" ht="18.75" x14ac:dyDescent="0.3">
      <c r="A55" s="64" t="s">
        <v>86</v>
      </c>
      <c r="B55" s="141" t="str">
        <f>B21</f>
        <v xml:space="preserve">Each Tablet contins Nevirapine USP 200mg </v>
      </c>
    </row>
    <row r="56" spans="1:12" ht="26.25" customHeight="1" x14ac:dyDescent="0.4">
      <c r="A56" s="142" t="s">
        <v>87</v>
      </c>
      <c r="B56" s="143">
        <v>200</v>
      </c>
      <c r="C56" s="64" t="str">
        <f>B20</f>
        <v>Nevirapine USP</v>
      </c>
      <c r="H56" s="144"/>
    </row>
    <row r="57" spans="1:12" ht="18.75" x14ac:dyDescent="0.3">
      <c r="A57" s="141" t="s">
        <v>88</v>
      </c>
      <c r="B57" s="236">
        <f>Uniformity!C46</f>
        <v>803.8995000000001</v>
      </c>
      <c r="H57" s="144"/>
    </row>
    <row r="58" spans="1:12" ht="19.5" customHeight="1" x14ac:dyDescent="0.3">
      <c r="H58" s="144"/>
    </row>
    <row r="59" spans="1:12" s="5" customFormat="1" ht="27" customHeight="1" x14ac:dyDescent="0.4">
      <c r="A59" s="87" t="s">
        <v>89</v>
      </c>
      <c r="B59" s="88">
        <v>100</v>
      </c>
      <c r="C59" s="64"/>
      <c r="D59" s="145" t="s">
        <v>90</v>
      </c>
      <c r="E59" s="146" t="s">
        <v>62</v>
      </c>
      <c r="F59" s="146" t="s">
        <v>63</v>
      </c>
      <c r="G59" s="146" t="s">
        <v>91</v>
      </c>
      <c r="H59" s="91" t="s">
        <v>92</v>
      </c>
      <c r="L59" s="77"/>
    </row>
    <row r="60" spans="1:12" s="5" customFormat="1" ht="26.25" customHeight="1" x14ac:dyDescent="0.4">
      <c r="A60" s="89" t="s">
        <v>93</v>
      </c>
      <c r="B60" s="90">
        <v>5</v>
      </c>
      <c r="C60" s="311" t="s">
        <v>94</v>
      </c>
      <c r="D60" s="314">
        <v>732.34</v>
      </c>
      <c r="E60" s="147">
        <v>1</v>
      </c>
      <c r="F60" s="148">
        <v>46288680</v>
      </c>
      <c r="G60" s="238">
        <f>IF(ISBLANK(F60),"-",(F60/$D$50*$D$47*$B$68)*($B$57/$D$60))</f>
        <v>195.06819798719624</v>
      </c>
      <c r="H60" s="149">
        <f t="shared" ref="H60:H71" si="0">IF(ISBLANK(F60),"-",G60/$B$56)</f>
        <v>0.97534098993598117</v>
      </c>
      <c r="L60" s="77"/>
    </row>
    <row r="61" spans="1:12" s="5" customFormat="1" ht="26.25" customHeight="1" x14ac:dyDescent="0.4">
      <c r="A61" s="89" t="s">
        <v>95</v>
      </c>
      <c r="B61" s="90">
        <v>50</v>
      </c>
      <c r="C61" s="312"/>
      <c r="D61" s="315"/>
      <c r="E61" s="150">
        <v>2</v>
      </c>
      <c r="F61" s="102">
        <v>46229496</v>
      </c>
      <c r="G61" s="239">
        <f>IF(ISBLANK(F61),"-",(F61/$D$50*$D$47*$B$68)*($B$57/$D$60))</f>
        <v>194.81878676549644</v>
      </c>
      <c r="H61" s="151">
        <f t="shared" si="0"/>
        <v>0.97409393382748222</v>
      </c>
      <c r="L61" s="77"/>
    </row>
    <row r="62" spans="1:12" s="5" customFormat="1" ht="26.25" customHeight="1" x14ac:dyDescent="0.4">
      <c r="A62" s="89" t="s">
        <v>96</v>
      </c>
      <c r="B62" s="90">
        <v>1</v>
      </c>
      <c r="C62" s="312"/>
      <c r="D62" s="315"/>
      <c r="E62" s="150">
        <v>3</v>
      </c>
      <c r="F62" s="152">
        <v>46405393</v>
      </c>
      <c r="G62" s="239">
        <f>IF(ISBLANK(F62),"-",(F62/$D$50*$D$47*$B$68)*($B$57/$D$60))</f>
        <v>195.5600459852744</v>
      </c>
      <c r="H62" s="151">
        <f t="shared" si="0"/>
        <v>0.97780022992637194</v>
      </c>
      <c r="L62" s="77"/>
    </row>
    <row r="63" spans="1:12" ht="27" customHeight="1" x14ac:dyDescent="0.4">
      <c r="A63" s="89" t="s">
        <v>97</v>
      </c>
      <c r="B63" s="90">
        <v>1</v>
      </c>
      <c r="C63" s="322"/>
      <c r="D63" s="316"/>
      <c r="E63" s="153">
        <v>4</v>
      </c>
      <c r="F63" s="154"/>
      <c r="G63" s="239" t="str">
        <f>IF(ISBLANK(F63),"-",(F63/$D$50*$D$47*$B$68)*($B$57/$D$60))</f>
        <v>-</v>
      </c>
      <c r="H63" s="151" t="str">
        <f t="shared" si="0"/>
        <v>-</v>
      </c>
    </row>
    <row r="64" spans="1:12" ht="26.25" customHeight="1" x14ac:dyDescent="0.4">
      <c r="A64" s="89" t="s">
        <v>98</v>
      </c>
      <c r="B64" s="90">
        <v>1</v>
      </c>
      <c r="C64" s="311" t="s">
        <v>99</v>
      </c>
      <c r="D64" s="314">
        <v>763.44</v>
      </c>
      <c r="E64" s="147">
        <v>1</v>
      </c>
      <c r="F64" s="148">
        <v>49126016</v>
      </c>
      <c r="G64" s="240">
        <f>IF(ISBLANK(F64),"-",(F64/$D$50*$D$47*$B$68)*($B$57/$D$64))</f>
        <v>198.59168739714002</v>
      </c>
      <c r="H64" s="155">
        <f t="shared" si="0"/>
        <v>0.99295843698570008</v>
      </c>
    </row>
    <row r="65" spans="1:8" ht="26.25" customHeight="1" x14ac:dyDescent="0.4">
      <c r="A65" s="89" t="s">
        <v>100</v>
      </c>
      <c r="B65" s="90">
        <v>1</v>
      </c>
      <c r="C65" s="312"/>
      <c r="D65" s="315"/>
      <c r="E65" s="150">
        <v>2</v>
      </c>
      <c r="F65" s="102">
        <v>49034294</v>
      </c>
      <c r="G65" s="241">
        <f>IF(ISBLANK(F65),"-",(F65/$D$50*$D$47*$B$68)*($B$57/$D$64))</f>
        <v>198.22090164582977</v>
      </c>
      <c r="H65" s="156">
        <f t="shared" si="0"/>
        <v>0.99110450822914886</v>
      </c>
    </row>
    <row r="66" spans="1:8" ht="26.25" customHeight="1" x14ac:dyDescent="0.4">
      <c r="A66" s="89" t="s">
        <v>101</v>
      </c>
      <c r="B66" s="90">
        <v>1</v>
      </c>
      <c r="C66" s="312"/>
      <c r="D66" s="315"/>
      <c r="E66" s="150">
        <v>3</v>
      </c>
      <c r="F66" s="102">
        <v>49158249</v>
      </c>
      <c r="G66" s="241">
        <f>IF(ISBLANK(F66),"-",(F66/$D$50*$D$47*$B$68)*($B$57/$D$64))</f>
        <v>198.72198914723251</v>
      </c>
      <c r="H66" s="156">
        <f t="shared" si="0"/>
        <v>0.99360994573616257</v>
      </c>
    </row>
    <row r="67" spans="1:8" ht="27" customHeight="1" x14ac:dyDescent="0.4">
      <c r="A67" s="89" t="s">
        <v>102</v>
      </c>
      <c r="B67" s="90">
        <v>1</v>
      </c>
      <c r="C67" s="322"/>
      <c r="D67" s="316"/>
      <c r="E67" s="153">
        <v>4</v>
      </c>
      <c r="F67" s="154"/>
      <c r="G67" s="242" t="str">
        <f>IF(ISBLANK(F67),"-",(F67/$D$50*$D$47*$B$68)*($B$57/$D$64))</f>
        <v>-</v>
      </c>
      <c r="H67" s="157" t="str">
        <f t="shared" si="0"/>
        <v>-</v>
      </c>
    </row>
    <row r="68" spans="1:8" ht="26.25" customHeight="1" x14ac:dyDescent="0.4">
      <c r="A68" s="89" t="s">
        <v>103</v>
      </c>
      <c r="B68" s="158">
        <f>(B67/B66)*(B65/B64)*(B63/B62)*(B61/B60)*B59</f>
        <v>1000</v>
      </c>
      <c r="C68" s="311" t="s">
        <v>104</v>
      </c>
      <c r="D68" s="314">
        <v>777.52</v>
      </c>
      <c r="E68" s="147">
        <v>1</v>
      </c>
      <c r="F68" s="148">
        <v>49276431</v>
      </c>
      <c r="G68" s="240">
        <f>IF(ISBLANK(F68),"-",(F68/$D$50*$D$47*$B$68)*($B$57/$D$68))</f>
        <v>195.59245934391498</v>
      </c>
      <c r="H68" s="151">
        <f t="shared" si="0"/>
        <v>0.97796229671957491</v>
      </c>
    </row>
    <row r="69" spans="1:8" ht="27" customHeight="1" x14ac:dyDescent="0.4">
      <c r="A69" s="137" t="s">
        <v>105</v>
      </c>
      <c r="B69" s="159">
        <f>(D47*B68)/B56*B57</f>
        <v>803.8995000000001</v>
      </c>
      <c r="C69" s="312"/>
      <c r="D69" s="315"/>
      <c r="E69" s="150">
        <v>2</v>
      </c>
      <c r="F69" s="102">
        <v>49411113</v>
      </c>
      <c r="G69" s="241">
        <f>IF(ISBLANK(F69),"-",(F69/$D$50*$D$47*$B$68)*($B$57/$D$68))</f>
        <v>196.12705129943538</v>
      </c>
      <c r="H69" s="151">
        <f t="shared" si="0"/>
        <v>0.98063525649717687</v>
      </c>
    </row>
    <row r="70" spans="1:8" ht="26.25" customHeight="1" x14ac:dyDescent="0.4">
      <c r="A70" s="317" t="s">
        <v>78</v>
      </c>
      <c r="B70" s="318"/>
      <c r="C70" s="312"/>
      <c r="D70" s="315"/>
      <c r="E70" s="150">
        <v>3</v>
      </c>
      <c r="F70" s="102">
        <v>49343531</v>
      </c>
      <c r="G70" s="241">
        <f>IF(ISBLANK(F70),"-",(F70/$D$50*$D$47*$B$68)*($B$57/$D$68))</f>
        <v>195.85879872271408</v>
      </c>
      <c r="H70" s="151">
        <f t="shared" si="0"/>
        <v>0.97929399361357039</v>
      </c>
    </row>
    <row r="71" spans="1:8" ht="27" customHeight="1" x14ac:dyDescent="0.4">
      <c r="A71" s="319"/>
      <c r="B71" s="320"/>
      <c r="C71" s="313"/>
      <c r="D71" s="316"/>
      <c r="E71" s="153">
        <v>4</v>
      </c>
      <c r="F71" s="154"/>
      <c r="G71" s="242" t="str">
        <f>IF(ISBLANK(F71),"-",(F71/$D$50*$D$47*$B$68)*($B$57/$D$68))</f>
        <v>-</v>
      </c>
      <c r="H71" s="160" t="str">
        <f t="shared" si="0"/>
        <v>-</v>
      </c>
    </row>
    <row r="72" spans="1:8" ht="26.25" customHeight="1" x14ac:dyDescent="0.4">
      <c r="A72" s="161"/>
      <c r="B72" s="161"/>
      <c r="C72" s="161"/>
      <c r="D72" s="161"/>
      <c r="E72" s="161"/>
      <c r="F72" s="162"/>
      <c r="G72" s="163" t="s">
        <v>71</v>
      </c>
      <c r="H72" s="164">
        <f>AVERAGE(H60:H71)</f>
        <v>0.98253328794124095</v>
      </c>
    </row>
    <row r="73" spans="1:8" ht="26.25" customHeight="1" x14ac:dyDescent="0.4">
      <c r="C73" s="161"/>
      <c r="D73" s="161"/>
      <c r="E73" s="161"/>
      <c r="F73" s="162"/>
      <c r="G73" s="165" t="s">
        <v>84</v>
      </c>
      <c r="H73" s="243">
        <f>STDEV(H60:H71)/H72</f>
        <v>7.9261348956914442E-3</v>
      </c>
    </row>
    <row r="74" spans="1:8" ht="27" customHeight="1" x14ac:dyDescent="0.4">
      <c r="A74" s="161"/>
      <c r="B74" s="161"/>
      <c r="C74" s="162"/>
      <c r="D74" s="162"/>
      <c r="E74" s="166"/>
      <c r="F74" s="162"/>
      <c r="G74" s="167" t="s">
        <v>20</v>
      </c>
      <c r="H74" s="168">
        <f>COUNT(H60:H71)</f>
        <v>9</v>
      </c>
    </row>
    <row r="76" spans="1:8" ht="26.25" customHeight="1" x14ac:dyDescent="0.4">
      <c r="A76" s="73" t="s">
        <v>106</v>
      </c>
      <c r="B76" s="169" t="s">
        <v>107</v>
      </c>
      <c r="C76" s="298" t="str">
        <f>B20</f>
        <v>Nevirapine USP</v>
      </c>
      <c r="D76" s="298"/>
      <c r="E76" s="170" t="s">
        <v>108</v>
      </c>
      <c r="F76" s="170"/>
      <c r="G76" s="171">
        <f>H72</f>
        <v>0.98253328794124095</v>
      </c>
      <c r="H76" s="172"/>
    </row>
    <row r="77" spans="1:8" ht="18.75" x14ac:dyDescent="0.3">
      <c r="A77" s="72" t="s">
        <v>109</v>
      </c>
      <c r="B77" s="72" t="s">
        <v>110</v>
      </c>
    </row>
    <row r="78" spans="1:8" ht="18.75" x14ac:dyDescent="0.3">
      <c r="A78" s="72"/>
      <c r="B78" s="72"/>
    </row>
    <row r="79" spans="1:8" ht="26.25" customHeight="1" x14ac:dyDescent="0.4">
      <c r="A79" s="73" t="s">
        <v>4</v>
      </c>
      <c r="B79" s="321" t="str">
        <f>B26</f>
        <v>NEVIRAPINE</v>
      </c>
      <c r="C79" s="321"/>
    </row>
    <row r="80" spans="1:8" ht="26.25" customHeight="1" x14ac:dyDescent="0.4">
      <c r="A80" s="74" t="s">
        <v>48</v>
      </c>
      <c r="B80" s="321" t="str">
        <f>B27</f>
        <v>WRS/N1-2</v>
      </c>
      <c r="C80" s="321"/>
    </row>
    <row r="81" spans="1:12" ht="27" customHeight="1" x14ac:dyDescent="0.4">
      <c r="A81" s="74" t="s">
        <v>6</v>
      </c>
      <c r="B81" s="173">
        <f>B28</f>
        <v>99.15</v>
      </c>
    </row>
    <row r="82" spans="1:12" s="5" customFormat="1" ht="27" customHeight="1" x14ac:dyDescent="0.4">
      <c r="A82" s="74" t="s">
        <v>49</v>
      </c>
      <c r="B82" s="76">
        <v>0</v>
      </c>
      <c r="C82" s="300" t="s">
        <v>50</v>
      </c>
      <c r="D82" s="301"/>
      <c r="E82" s="301"/>
      <c r="F82" s="301"/>
      <c r="G82" s="302"/>
      <c r="I82" s="77"/>
      <c r="J82" s="77"/>
      <c r="K82" s="77"/>
      <c r="L82" s="77"/>
    </row>
    <row r="83" spans="1:12" s="5" customFormat="1" ht="19.5" customHeight="1" x14ac:dyDescent="0.3">
      <c r="A83" s="74" t="s">
        <v>51</v>
      </c>
      <c r="B83" s="78">
        <f>B81-B82</f>
        <v>99.15</v>
      </c>
      <c r="C83" s="79"/>
      <c r="D83" s="79"/>
      <c r="E83" s="79"/>
      <c r="F83" s="79"/>
      <c r="G83" s="80"/>
      <c r="I83" s="77"/>
      <c r="J83" s="77"/>
      <c r="K83" s="77"/>
      <c r="L83" s="77"/>
    </row>
    <row r="84" spans="1:12" s="5" customFormat="1" ht="27" customHeight="1" x14ac:dyDescent="0.4">
      <c r="A84" s="74" t="s">
        <v>52</v>
      </c>
      <c r="B84" s="81">
        <v>1</v>
      </c>
      <c r="C84" s="303" t="s">
        <v>111</v>
      </c>
      <c r="D84" s="304"/>
      <c r="E84" s="304"/>
      <c r="F84" s="304"/>
      <c r="G84" s="304"/>
      <c r="H84" s="305"/>
      <c r="I84" s="77"/>
      <c r="J84" s="77"/>
      <c r="K84" s="77"/>
      <c r="L84" s="77"/>
    </row>
    <row r="85" spans="1:12" s="5" customFormat="1" ht="27" customHeight="1" x14ac:dyDescent="0.4">
      <c r="A85" s="74" t="s">
        <v>54</v>
      </c>
      <c r="B85" s="81">
        <v>1</v>
      </c>
      <c r="C85" s="303" t="s">
        <v>112</v>
      </c>
      <c r="D85" s="304"/>
      <c r="E85" s="304"/>
      <c r="F85" s="304"/>
      <c r="G85" s="304"/>
      <c r="H85" s="305"/>
      <c r="I85" s="77"/>
      <c r="J85" s="77"/>
      <c r="K85" s="77"/>
      <c r="L85" s="77"/>
    </row>
    <row r="86" spans="1:12" s="5" customFormat="1" ht="18.75" x14ac:dyDescent="0.3">
      <c r="A86" s="74"/>
      <c r="B86" s="84"/>
      <c r="C86" s="85"/>
      <c r="D86" s="85"/>
      <c r="E86" s="85"/>
      <c r="F86" s="85"/>
      <c r="G86" s="85"/>
      <c r="H86" s="85"/>
      <c r="I86" s="77"/>
      <c r="J86" s="77"/>
      <c r="K86" s="77"/>
      <c r="L86" s="77"/>
    </row>
    <row r="87" spans="1:12" s="5" customFormat="1" ht="18.75" x14ac:dyDescent="0.3">
      <c r="A87" s="74" t="s">
        <v>56</v>
      </c>
      <c r="B87" s="86">
        <f>B84/B85</f>
        <v>1</v>
      </c>
      <c r="C87" s="64" t="s">
        <v>57</v>
      </c>
      <c r="D87" s="64"/>
      <c r="E87" s="64"/>
      <c r="F87" s="64"/>
      <c r="G87" s="64"/>
      <c r="I87" s="77"/>
      <c r="J87" s="77"/>
      <c r="K87" s="77"/>
      <c r="L87" s="77"/>
    </row>
    <row r="88" spans="1:12" ht="19.5" customHeight="1" x14ac:dyDescent="0.3">
      <c r="A88" s="72"/>
      <c r="B88" s="72"/>
    </row>
    <row r="89" spans="1:12" ht="27" customHeight="1" x14ac:dyDescent="0.4">
      <c r="A89" s="87" t="s">
        <v>58</v>
      </c>
      <c r="B89" s="88">
        <v>50</v>
      </c>
      <c r="D89" s="174" t="s">
        <v>59</v>
      </c>
      <c r="E89" s="175"/>
      <c r="F89" s="306" t="s">
        <v>60</v>
      </c>
      <c r="G89" s="307"/>
    </row>
    <row r="90" spans="1:12" ht="27" customHeight="1" x14ac:dyDescent="0.4">
      <c r="A90" s="89" t="s">
        <v>61</v>
      </c>
      <c r="B90" s="90">
        <v>5</v>
      </c>
      <c r="C90" s="176" t="s">
        <v>62</v>
      </c>
      <c r="D90" s="92" t="s">
        <v>63</v>
      </c>
      <c r="E90" s="93" t="s">
        <v>64</v>
      </c>
      <c r="F90" s="92" t="s">
        <v>63</v>
      </c>
      <c r="G90" s="177" t="s">
        <v>64</v>
      </c>
      <c r="I90" s="95" t="s">
        <v>65</v>
      </c>
    </row>
    <row r="91" spans="1:12" ht="26.25" customHeight="1" x14ac:dyDescent="0.4">
      <c r="A91" s="89" t="s">
        <v>66</v>
      </c>
      <c r="B91" s="90">
        <v>10</v>
      </c>
      <c r="C91" s="178">
        <v>1</v>
      </c>
      <c r="D91" s="97">
        <v>62028252</v>
      </c>
      <c r="E91" s="98">
        <f>IF(ISBLANK(D91),"-",$D$101/$D$98*D91)</f>
        <v>57163753.748971514</v>
      </c>
      <c r="F91" s="97">
        <v>60042994</v>
      </c>
      <c r="G91" s="99">
        <f>IF(ISBLANK(F91),"-",$D$101/$F$98*F91)</f>
        <v>57682273.415569223</v>
      </c>
      <c r="I91" s="100"/>
    </row>
    <row r="92" spans="1:12" ht="26.25" customHeight="1" x14ac:dyDescent="0.4">
      <c r="A92" s="89" t="s">
        <v>67</v>
      </c>
      <c r="B92" s="90">
        <v>1</v>
      </c>
      <c r="C92" s="162">
        <v>2</v>
      </c>
      <c r="D92" s="102">
        <v>62357615</v>
      </c>
      <c r="E92" s="103">
        <f>IF(ISBLANK(D92),"-",$D$101/$D$98*D92)</f>
        <v>57467286.813646987</v>
      </c>
      <c r="F92" s="102">
        <v>59746596</v>
      </c>
      <c r="G92" s="104">
        <f>IF(ISBLANK(F92),"-",$D$101/$F$98*F92)</f>
        <v>57397528.946034141</v>
      </c>
      <c r="I92" s="308">
        <f>ABS((F96/D96*D95)-F95)/D95</f>
        <v>2.4516756305647449E-3</v>
      </c>
    </row>
    <row r="93" spans="1:12" ht="26.25" customHeight="1" x14ac:dyDescent="0.4">
      <c r="A93" s="89" t="s">
        <v>68</v>
      </c>
      <c r="B93" s="90">
        <v>1</v>
      </c>
      <c r="C93" s="162">
        <v>3</v>
      </c>
      <c r="D93" s="102">
        <v>62281686</v>
      </c>
      <c r="E93" s="103">
        <f>IF(ISBLANK(D93),"-",$D$101/$D$98*D93)</f>
        <v>57397312.462952636</v>
      </c>
      <c r="F93" s="102">
        <v>59736891</v>
      </c>
      <c r="G93" s="104">
        <f>IF(ISBLANK(F93),"-",$D$101/$F$98*F93)</f>
        <v>57388205.51916609</v>
      </c>
      <c r="I93" s="308"/>
    </row>
    <row r="94" spans="1:12" ht="27" customHeight="1" x14ac:dyDescent="0.4">
      <c r="A94" s="89" t="s">
        <v>69</v>
      </c>
      <c r="B94" s="90">
        <v>1</v>
      </c>
      <c r="C94" s="179">
        <v>4</v>
      </c>
      <c r="D94" s="107"/>
      <c r="E94" s="108" t="str">
        <f>IF(ISBLANK(D94),"-",$D$101/$D$98*D94)</f>
        <v>-</v>
      </c>
      <c r="F94" s="180"/>
      <c r="G94" s="109" t="str">
        <f>IF(ISBLANK(F94),"-",$D$101/$F$98*F94)</f>
        <v>-</v>
      </c>
      <c r="I94" s="110"/>
    </row>
    <row r="95" spans="1:12" ht="27" customHeight="1" x14ac:dyDescent="0.4">
      <c r="A95" s="89" t="s">
        <v>70</v>
      </c>
      <c r="B95" s="90">
        <v>1</v>
      </c>
      <c r="C95" s="181" t="s">
        <v>71</v>
      </c>
      <c r="D95" s="182">
        <f>AVERAGE(D91:D94)</f>
        <v>62222517.666666664</v>
      </c>
      <c r="E95" s="113">
        <f>AVERAGE(E91:E94)</f>
        <v>57342784.341857046</v>
      </c>
      <c r="F95" s="183">
        <f>AVERAGE(F91:F94)</f>
        <v>59842160.333333336</v>
      </c>
      <c r="G95" s="184">
        <f>AVERAGE(G91:G94)</f>
        <v>57489335.960256487</v>
      </c>
    </row>
    <row r="96" spans="1:12" ht="26.25" customHeight="1" x14ac:dyDescent="0.4">
      <c r="A96" s="89" t="s">
        <v>72</v>
      </c>
      <c r="B96" s="75">
        <v>1</v>
      </c>
      <c r="C96" s="185" t="s">
        <v>113</v>
      </c>
      <c r="D96" s="186">
        <v>24.32</v>
      </c>
      <c r="E96" s="105"/>
      <c r="F96" s="117">
        <v>23.33</v>
      </c>
    </row>
    <row r="97" spans="1:10" ht="26.25" customHeight="1" x14ac:dyDescent="0.4">
      <c r="A97" s="89" t="s">
        <v>74</v>
      </c>
      <c r="B97" s="75">
        <v>1</v>
      </c>
      <c r="C97" s="187" t="s">
        <v>114</v>
      </c>
      <c r="D97" s="188">
        <f>D96*$B$87</f>
        <v>24.32</v>
      </c>
      <c r="E97" s="120"/>
      <c r="F97" s="119">
        <f>F96*$B$87</f>
        <v>23.33</v>
      </c>
    </row>
    <row r="98" spans="1:10" ht="19.5" customHeight="1" x14ac:dyDescent="0.3">
      <c r="A98" s="89" t="s">
        <v>76</v>
      </c>
      <c r="B98" s="189">
        <f>(B97/B96)*(B95/B94)*(B93/B92)*(B91/B90)*B89</f>
        <v>100</v>
      </c>
      <c r="C98" s="187" t="s">
        <v>115</v>
      </c>
      <c r="D98" s="190">
        <f>D97*$B$83/100</f>
        <v>24.11328</v>
      </c>
      <c r="E98" s="123"/>
      <c r="F98" s="122">
        <f>F97*$B$83/100</f>
        <v>23.131695000000001</v>
      </c>
    </row>
    <row r="99" spans="1:10" ht="19.5" customHeight="1" x14ac:dyDescent="0.3">
      <c r="A99" s="294" t="s">
        <v>78</v>
      </c>
      <c r="B99" s="309"/>
      <c r="C99" s="187" t="s">
        <v>116</v>
      </c>
      <c r="D99" s="191">
        <f>D98/$B$98</f>
        <v>0.24113280000000001</v>
      </c>
      <c r="E99" s="123"/>
      <c r="F99" s="126">
        <f>F98/$B$98</f>
        <v>0.23131694999999999</v>
      </c>
      <c r="G99" s="192"/>
      <c r="H99" s="115"/>
    </row>
    <row r="100" spans="1:10" ht="19.5" customHeight="1" x14ac:dyDescent="0.3">
      <c r="A100" s="296"/>
      <c r="B100" s="310"/>
      <c r="C100" s="187" t="s">
        <v>80</v>
      </c>
      <c r="D100" s="193">
        <f>$B$56/$B$116</f>
        <v>0.22222222222222221</v>
      </c>
      <c r="F100" s="131"/>
      <c r="G100" s="194"/>
      <c r="H100" s="115"/>
    </row>
    <row r="101" spans="1:10" ht="18.75" x14ac:dyDescent="0.3">
      <c r="C101" s="187" t="s">
        <v>81</v>
      </c>
      <c r="D101" s="188">
        <f>D100*$B$98</f>
        <v>22.222222222222221</v>
      </c>
      <c r="F101" s="131"/>
      <c r="G101" s="192"/>
      <c r="H101" s="115"/>
    </row>
    <row r="102" spans="1:10" ht="19.5" customHeight="1" x14ac:dyDescent="0.3">
      <c r="C102" s="195" t="s">
        <v>82</v>
      </c>
      <c r="D102" s="196">
        <f>D101/B34</f>
        <v>22.222222222222221</v>
      </c>
      <c r="F102" s="135"/>
      <c r="G102" s="192"/>
      <c r="H102" s="115"/>
      <c r="J102" s="197"/>
    </row>
    <row r="103" spans="1:10" ht="18.75" x14ac:dyDescent="0.3">
      <c r="C103" s="198" t="s">
        <v>117</v>
      </c>
      <c r="D103" s="199">
        <f>AVERAGE(E91:E94,G91:G94)</f>
        <v>57416060.151056767</v>
      </c>
      <c r="F103" s="135"/>
      <c r="G103" s="200"/>
      <c r="H103" s="115"/>
      <c r="J103" s="201"/>
    </row>
    <row r="104" spans="1:10" ht="18.75" x14ac:dyDescent="0.3">
      <c r="C104" s="165" t="s">
        <v>84</v>
      </c>
      <c r="D104" s="202">
        <f>STDEV(E91:E94,G91:G94)/D103</f>
        <v>2.9000079384284864E-3</v>
      </c>
      <c r="F104" s="135"/>
      <c r="G104" s="192"/>
      <c r="H104" s="115"/>
      <c r="J104" s="201"/>
    </row>
    <row r="105" spans="1:10" ht="19.5" customHeight="1" x14ac:dyDescent="0.3">
      <c r="C105" s="167" t="s">
        <v>20</v>
      </c>
      <c r="D105" s="203">
        <f>COUNT(E91:E94,G91:G94)</f>
        <v>6</v>
      </c>
      <c r="F105" s="135"/>
      <c r="G105" s="192"/>
      <c r="H105" s="115"/>
      <c r="J105" s="201"/>
    </row>
    <row r="106" spans="1:10" ht="19.5" customHeight="1" x14ac:dyDescent="0.3">
      <c r="A106" s="139"/>
      <c r="B106" s="139"/>
      <c r="C106" s="139"/>
      <c r="D106" s="139"/>
      <c r="E106" s="139"/>
    </row>
    <row r="107" spans="1:10" ht="26.25" customHeight="1" x14ac:dyDescent="0.4">
      <c r="A107" s="87" t="s">
        <v>118</v>
      </c>
      <c r="B107" s="88">
        <v>900</v>
      </c>
      <c r="C107" s="204" t="s">
        <v>119</v>
      </c>
      <c r="D107" s="205" t="s">
        <v>63</v>
      </c>
      <c r="E107" s="206" t="s">
        <v>120</v>
      </c>
      <c r="F107" s="207" t="s">
        <v>121</v>
      </c>
    </row>
    <row r="108" spans="1:10" ht="26.25" customHeight="1" x14ac:dyDescent="0.4">
      <c r="A108" s="89" t="s">
        <v>122</v>
      </c>
      <c r="B108" s="90">
        <v>1</v>
      </c>
      <c r="C108" s="208">
        <v>1</v>
      </c>
      <c r="D108" s="209">
        <v>58735601</v>
      </c>
      <c r="E108" s="244">
        <f t="shared" ref="E108:E113" si="1">IF(ISBLANK(D108),"-",D108/$D$103*$D$100*$B$116)</f>
        <v>204.59641725841738</v>
      </c>
      <c r="F108" s="210">
        <f t="shared" ref="F108:F113" si="2">IF(ISBLANK(D108), "-", E108/$B$56)</f>
        <v>1.0229820862920869</v>
      </c>
    </row>
    <row r="109" spans="1:10" ht="26.25" customHeight="1" x14ac:dyDescent="0.4">
      <c r="A109" s="89" t="s">
        <v>95</v>
      </c>
      <c r="B109" s="90">
        <v>1</v>
      </c>
      <c r="C109" s="208">
        <v>2</v>
      </c>
      <c r="D109" s="209">
        <v>58980476</v>
      </c>
      <c r="E109" s="245">
        <f t="shared" si="1"/>
        <v>205.44940159539814</v>
      </c>
      <c r="F109" s="211">
        <f t="shared" si="2"/>
        <v>1.0272470079769906</v>
      </c>
    </row>
    <row r="110" spans="1:10" ht="26.25" customHeight="1" x14ac:dyDescent="0.4">
      <c r="A110" s="89" t="s">
        <v>96</v>
      </c>
      <c r="B110" s="90">
        <v>1</v>
      </c>
      <c r="C110" s="208">
        <v>3</v>
      </c>
      <c r="D110" s="209">
        <v>58028095</v>
      </c>
      <c r="E110" s="245">
        <f t="shared" si="1"/>
        <v>202.13192910601325</v>
      </c>
      <c r="F110" s="211">
        <f t="shared" si="2"/>
        <v>1.0106596455300663</v>
      </c>
    </row>
    <row r="111" spans="1:10" ht="26.25" customHeight="1" x14ac:dyDescent="0.4">
      <c r="A111" s="89" t="s">
        <v>97</v>
      </c>
      <c r="B111" s="90">
        <v>1</v>
      </c>
      <c r="C111" s="208">
        <v>4</v>
      </c>
      <c r="D111" s="209">
        <v>57849551</v>
      </c>
      <c r="E111" s="245">
        <f t="shared" si="1"/>
        <v>201.50999858855783</v>
      </c>
      <c r="F111" s="211">
        <f t="shared" si="2"/>
        <v>1.0075499929427891</v>
      </c>
    </row>
    <row r="112" spans="1:10" ht="26.25" customHeight="1" x14ac:dyDescent="0.4">
      <c r="A112" s="89" t="s">
        <v>98</v>
      </c>
      <c r="B112" s="90">
        <v>1</v>
      </c>
      <c r="C112" s="208">
        <v>5</v>
      </c>
      <c r="D112" s="209">
        <v>56341479</v>
      </c>
      <c r="E112" s="245">
        <f t="shared" si="1"/>
        <v>196.25686211060238</v>
      </c>
      <c r="F112" s="211">
        <f t="shared" si="2"/>
        <v>0.98128431055301191</v>
      </c>
    </row>
    <row r="113" spans="1:10" ht="26.25" customHeight="1" x14ac:dyDescent="0.4">
      <c r="A113" s="89" t="s">
        <v>100</v>
      </c>
      <c r="B113" s="90">
        <v>1</v>
      </c>
      <c r="C113" s="212">
        <v>6</v>
      </c>
      <c r="D113" s="213">
        <v>56495443</v>
      </c>
      <c r="E113" s="246">
        <f t="shared" si="1"/>
        <v>196.79317198486032</v>
      </c>
      <c r="F113" s="214">
        <f t="shared" si="2"/>
        <v>0.98396585992430163</v>
      </c>
    </row>
    <row r="114" spans="1:10" ht="26.25" customHeight="1" x14ac:dyDescent="0.4">
      <c r="A114" s="89" t="s">
        <v>101</v>
      </c>
      <c r="B114" s="90">
        <v>1</v>
      </c>
      <c r="C114" s="208"/>
      <c r="D114" s="162"/>
      <c r="E114" s="63"/>
      <c r="F114" s="215"/>
    </row>
    <row r="115" spans="1:10" ht="26.25" customHeight="1" x14ac:dyDescent="0.4">
      <c r="A115" s="89" t="s">
        <v>102</v>
      </c>
      <c r="B115" s="90">
        <v>1</v>
      </c>
      <c r="C115" s="208"/>
      <c r="D115" s="216"/>
      <c r="E115" s="217" t="s">
        <v>71</v>
      </c>
      <c r="F115" s="218">
        <f>AVERAGE(F108:F113)</f>
        <v>1.005614817203208</v>
      </c>
    </row>
    <row r="116" spans="1:10" ht="27" customHeight="1" x14ac:dyDescent="0.4">
      <c r="A116" s="89" t="s">
        <v>103</v>
      </c>
      <c r="B116" s="121">
        <f>(B115/B114)*(B113/B112)*(B111/B110)*(B109/B108)*B107</f>
        <v>900</v>
      </c>
      <c r="C116" s="219"/>
      <c r="D116" s="220"/>
      <c r="E116" s="181" t="s">
        <v>84</v>
      </c>
      <c r="F116" s="221">
        <f>STDEV(F108:F113)/F115</f>
        <v>1.917661995982612E-2</v>
      </c>
      <c r="I116" s="63"/>
    </row>
    <row r="117" spans="1:10" ht="27" customHeight="1" x14ac:dyDescent="0.4">
      <c r="A117" s="294" t="s">
        <v>78</v>
      </c>
      <c r="B117" s="295"/>
      <c r="C117" s="222"/>
      <c r="D117" s="223"/>
      <c r="E117" s="224" t="s">
        <v>20</v>
      </c>
      <c r="F117" s="225">
        <f>COUNT(F108:F113)</f>
        <v>6</v>
      </c>
      <c r="I117" s="63"/>
      <c r="J117" s="201"/>
    </row>
    <row r="118" spans="1:10" ht="19.5" customHeight="1" x14ac:dyDescent="0.3">
      <c r="A118" s="296"/>
      <c r="B118" s="297"/>
      <c r="C118" s="63"/>
      <c r="D118" s="63"/>
      <c r="E118" s="63"/>
      <c r="F118" s="162"/>
      <c r="G118" s="63"/>
      <c r="H118" s="63"/>
      <c r="I118" s="63"/>
    </row>
    <row r="119" spans="1:10" ht="18.75" x14ac:dyDescent="0.3">
      <c r="A119" s="234"/>
      <c r="B119" s="85"/>
      <c r="C119" s="63"/>
      <c r="D119" s="63"/>
      <c r="E119" s="63"/>
      <c r="F119" s="162"/>
      <c r="G119" s="63"/>
      <c r="H119" s="63"/>
      <c r="I119" s="63"/>
    </row>
    <row r="120" spans="1:10" ht="26.25" customHeight="1" x14ac:dyDescent="0.4">
      <c r="A120" s="73" t="s">
        <v>106</v>
      </c>
      <c r="B120" s="169" t="s">
        <v>123</v>
      </c>
      <c r="C120" s="298" t="str">
        <f>B20</f>
        <v>Nevirapine USP</v>
      </c>
      <c r="D120" s="298"/>
      <c r="E120" s="170" t="s">
        <v>124</v>
      </c>
      <c r="F120" s="170"/>
      <c r="G120" s="171">
        <f>F115</f>
        <v>1.005614817203208</v>
      </c>
      <c r="H120" s="63"/>
      <c r="I120" s="63"/>
    </row>
    <row r="121" spans="1:10" ht="19.5" customHeight="1" x14ac:dyDescent="0.3">
      <c r="A121" s="226"/>
      <c r="B121" s="226"/>
      <c r="C121" s="227"/>
      <c r="D121" s="227"/>
      <c r="E121" s="227"/>
      <c r="F121" s="227"/>
      <c r="G121" s="227"/>
      <c r="H121" s="227"/>
    </row>
    <row r="122" spans="1:10" ht="18.75" x14ac:dyDescent="0.3">
      <c r="B122" s="299" t="s">
        <v>26</v>
      </c>
      <c r="C122" s="299"/>
      <c r="E122" s="176" t="s">
        <v>27</v>
      </c>
      <c r="F122" s="228"/>
      <c r="G122" s="299" t="s">
        <v>28</v>
      </c>
      <c r="H122" s="299"/>
    </row>
    <row r="123" spans="1:10" ht="69.95" customHeight="1" x14ac:dyDescent="0.3">
      <c r="A123" s="229" t="s">
        <v>29</v>
      </c>
      <c r="B123" s="230"/>
      <c r="C123" s="230"/>
      <c r="E123" s="230"/>
      <c r="F123" s="63"/>
      <c r="G123" s="231"/>
      <c r="H123" s="231"/>
    </row>
    <row r="124" spans="1:10" ht="69.95" customHeight="1" x14ac:dyDescent="0.3">
      <c r="A124" s="229" t="s">
        <v>30</v>
      </c>
      <c r="B124" s="232"/>
      <c r="C124" s="232"/>
      <c r="E124" s="232"/>
      <c r="F124" s="63"/>
      <c r="G124" s="233"/>
      <c r="H124" s="233"/>
    </row>
    <row r="125" spans="1:10" ht="18.75" x14ac:dyDescent="0.3">
      <c r="A125" s="161"/>
      <c r="B125" s="161"/>
      <c r="C125" s="162"/>
      <c r="D125" s="162"/>
      <c r="E125" s="162"/>
      <c r="F125" s="166"/>
      <c r="G125" s="162"/>
      <c r="H125" s="162"/>
      <c r="I125" s="63"/>
    </row>
    <row r="126" spans="1:10" ht="18.75" x14ac:dyDescent="0.3">
      <c r="A126" s="161"/>
      <c r="B126" s="161"/>
      <c r="C126" s="162"/>
      <c r="D126" s="162"/>
      <c r="E126" s="162"/>
      <c r="F126" s="166"/>
      <c r="G126" s="162"/>
      <c r="H126" s="162"/>
      <c r="I126" s="63"/>
    </row>
    <row r="127" spans="1:10" ht="18.75" x14ac:dyDescent="0.3">
      <c r="A127" s="161"/>
      <c r="B127" s="161"/>
      <c r="C127" s="162"/>
      <c r="D127" s="162"/>
      <c r="E127" s="162"/>
      <c r="F127" s="166"/>
      <c r="G127" s="162"/>
      <c r="H127" s="162"/>
      <c r="I127" s="63"/>
    </row>
    <row r="128" spans="1:10" ht="18.75" x14ac:dyDescent="0.3">
      <c r="A128" s="161"/>
      <c r="B128" s="161"/>
      <c r="C128" s="162"/>
      <c r="D128" s="162"/>
      <c r="E128" s="162"/>
      <c r="F128" s="166"/>
      <c r="G128" s="162"/>
      <c r="H128" s="162"/>
      <c r="I128" s="63"/>
    </row>
    <row r="129" spans="1:9" ht="18.75" x14ac:dyDescent="0.3">
      <c r="A129" s="161"/>
      <c r="B129" s="161"/>
      <c r="C129" s="162"/>
      <c r="D129" s="162"/>
      <c r="E129" s="162"/>
      <c r="F129" s="166"/>
      <c r="G129" s="162"/>
      <c r="H129" s="162"/>
      <c r="I129" s="63"/>
    </row>
    <row r="130" spans="1:9" ht="18.75" x14ac:dyDescent="0.3">
      <c r="A130" s="161"/>
      <c r="B130" s="161"/>
      <c r="C130" s="162"/>
      <c r="D130" s="162"/>
      <c r="E130" s="162"/>
      <c r="F130" s="166"/>
      <c r="G130" s="162"/>
      <c r="H130" s="162"/>
      <c r="I130" s="63"/>
    </row>
    <row r="131" spans="1:9" ht="18.75" x14ac:dyDescent="0.3">
      <c r="A131" s="161"/>
      <c r="B131" s="161"/>
      <c r="C131" s="162"/>
      <c r="D131" s="162"/>
      <c r="E131" s="162"/>
      <c r="F131" s="166"/>
      <c r="G131" s="162"/>
      <c r="H131" s="162"/>
      <c r="I131" s="63"/>
    </row>
    <row r="132" spans="1:9" ht="18.75" x14ac:dyDescent="0.3">
      <c r="A132" s="161"/>
      <c r="B132" s="161"/>
      <c r="C132" s="162"/>
      <c r="D132" s="162"/>
      <c r="E132" s="162"/>
      <c r="F132" s="166"/>
      <c r="G132" s="162"/>
      <c r="H132" s="162"/>
      <c r="I132" s="63"/>
    </row>
    <row r="133" spans="1:9" ht="18.75" x14ac:dyDescent="0.3">
      <c r="A133" s="161"/>
      <c r="B133" s="161"/>
      <c r="C133" s="162"/>
      <c r="D133" s="162"/>
      <c r="E133" s="162"/>
      <c r="F133" s="166"/>
      <c r="G133" s="162"/>
      <c r="H133" s="162"/>
      <c r="I133" s="63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dcterms:created xsi:type="dcterms:W3CDTF">2005-07-05T10:19:27Z</dcterms:created>
  <dcterms:modified xsi:type="dcterms:W3CDTF">2015-10-19T07:52:35Z</dcterms:modified>
  <cp:category/>
</cp:coreProperties>
</file>