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Abacavir" sheetId="3" r:id="rId3"/>
  </sheets>
  <externalReferences>
    <externalReference r:id="rId4"/>
  </externalReferences>
  <definedNames>
    <definedName name="_xlnm.Print_Area" localSheetId="2">Abacavir!$A$1:$H$126</definedName>
    <definedName name="_xlnm.Print_Area" localSheetId="0">SST!$A$1:$G$64</definedName>
    <definedName name="_xlnm.Print_Area" localSheetId="1">Uniformity!$A$1:$H$62</definedName>
  </definedNames>
  <calcPr calcId="145621"/>
</workbook>
</file>

<file path=xl/calcChain.xml><?xml version="1.0" encoding="utf-8"?>
<calcChain xmlns="http://schemas.openxmlformats.org/spreadsheetml/2006/main">
  <c r="F95" i="3" l="1"/>
  <c r="D95" i="3"/>
  <c r="E94" i="3"/>
  <c r="C19" i="2" l="1"/>
  <c r="C18" i="2"/>
  <c r="B21" i="1"/>
  <c r="B20" i="1"/>
  <c r="B19" i="1"/>
  <c r="B18" i="1"/>
  <c r="B17" i="1"/>
  <c r="B42" i="1"/>
  <c r="B41" i="1"/>
  <c r="B40" i="1"/>
  <c r="B39" i="1"/>
  <c r="B69" i="3" l="1"/>
  <c r="B81" i="3"/>
  <c r="B83" i="3" s="1"/>
  <c r="B80" i="3"/>
  <c r="B79" i="3"/>
  <c r="F42" i="3"/>
  <c r="D42" i="3"/>
  <c r="B30" i="3"/>
  <c r="C120" i="3"/>
  <c r="B116" i="3"/>
  <c r="D100" i="3" s="1"/>
  <c r="B98" i="3"/>
  <c r="F97" i="3"/>
  <c r="B87" i="3"/>
  <c r="D97" i="3" s="1"/>
  <c r="C76" i="3"/>
  <c r="B68" i="3"/>
  <c r="B57" i="3"/>
  <c r="C56" i="3"/>
  <c r="B55" i="3"/>
  <c r="B45" i="3"/>
  <c r="D48" i="3" s="1"/>
  <c r="F44" i="3"/>
  <c r="F45" i="3" s="1"/>
  <c r="G38" i="3" s="1"/>
  <c r="B34" i="3"/>
  <c r="D44" i="3" s="1"/>
  <c r="D45" i="3" s="1"/>
  <c r="E38" i="3" s="1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B53" i="1"/>
  <c r="B52" i="1"/>
  <c r="B32" i="1"/>
  <c r="E30" i="1"/>
  <c r="D30" i="1"/>
  <c r="C30" i="1"/>
  <c r="B30" i="1"/>
  <c r="B31" i="1" s="1"/>
  <c r="G39" i="3" l="1"/>
  <c r="G40" i="3"/>
  <c r="E39" i="3"/>
  <c r="E40" i="3"/>
  <c r="I39" i="3"/>
  <c r="I92" i="3"/>
  <c r="D101" i="3"/>
  <c r="D102" i="3" s="1"/>
  <c r="D46" i="3"/>
  <c r="F46" i="3"/>
  <c r="F98" i="3"/>
  <c r="F99" i="3" s="1"/>
  <c r="D98" i="3"/>
  <c r="D49" i="3"/>
  <c r="G41" i="3"/>
  <c r="E41" i="3"/>
  <c r="D99" i="3" l="1"/>
  <c r="E93" i="3"/>
  <c r="E92" i="3"/>
  <c r="E91" i="3"/>
  <c r="E95" i="3" s="1"/>
  <c r="G42" i="3"/>
  <c r="G94" i="3"/>
  <c r="G93" i="3"/>
  <c r="G92" i="3"/>
  <c r="G91" i="3"/>
  <c r="D50" i="3"/>
  <c r="E42" i="3"/>
  <c r="D52" i="3"/>
  <c r="G95" i="3" l="1"/>
  <c r="D103" i="3"/>
  <c r="E110" i="3" s="1"/>
  <c r="F110" i="3" s="1"/>
  <c r="D105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H60" i="3" s="1"/>
  <c r="D51" i="3"/>
  <c r="E111" i="3" l="1"/>
  <c r="F111" i="3" s="1"/>
  <c r="E113" i="3"/>
  <c r="F113" i="3" s="1"/>
  <c r="E108" i="3"/>
  <c r="F108" i="3" s="1"/>
  <c r="D104" i="3"/>
  <c r="E112" i="3"/>
  <c r="F112" i="3" s="1"/>
  <c r="E109" i="3"/>
  <c r="F109" i="3" s="1"/>
  <c r="H72" i="3"/>
  <c r="G76" i="3" s="1"/>
  <c r="H74" i="3"/>
  <c r="F117" i="3" l="1"/>
  <c r="F115" i="3"/>
  <c r="G120" i="3" s="1"/>
  <c r="H73" i="3"/>
  <c r="F116" i="3" l="1"/>
</calcChain>
</file>

<file path=xl/sharedStrings.xml><?xml version="1.0" encoding="utf-8"?>
<sst xmlns="http://schemas.openxmlformats.org/spreadsheetml/2006/main" count="236" uniqueCount="130">
  <si>
    <t>HPLC System Suitability Report</t>
  </si>
  <si>
    <t>Analysis Data</t>
  </si>
  <si>
    <t>Assay</t>
  </si>
  <si>
    <t>Sample(s)</t>
  </si>
  <si>
    <t>Reference Substance:</t>
  </si>
  <si>
    <t>ABACAVIR SULFATE 300MG TABLETS</t>
  </si>
  <si>
    <t>% age Purity:</t>
  </si>
  <si>
    <t>NDQD201508158</t>
  </si>
  <si>
    <t>Weight (mg):</t>
  </si>
  <si>
    <t xml:space="preserve">Abacavir Sulfate </t>
  </si>
  <si>
    <t>Standard Conc (mg/mL):</t>
  </si>
  <si>
    <t>Each film coated Tablet contains:
Abacavir Sulfate equivalent to Abacavir 300mg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</si>
  <si>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</si>
  <si>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</si>
  <si>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</si>
  <si>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</si>
  <si>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</si>
  <si>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</si>
  <si>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</si>
  <si>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</si>
  <si>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</si>
  <si>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</si>
  <si>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</si>
  <si>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</si>
  <si>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</si>
  <si>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</si>
  <si>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</si>
  <si>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</si>
  <si>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</si>
  <si>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</si>
  <si>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</si>
  <si>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</si>
  <si>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</si>
  <si>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</si>
  <si>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</si>
  <si>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</si>
  <si>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</si>
  <si>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</si>
  <si>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</si>
  <si>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</si>
  <si>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</si>
  <si>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</si>
  <si>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</si>
  <si>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</si>
  <si>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</si>
  <si>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</si>
  <si>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</si>
  <si>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</si>
  <si>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</si>
  <si>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</si>
  <si>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</si>
  <si>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</si>
  <si>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</si>
  <si>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</si>
  <si>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</si>
  <si>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</si>
  <si>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</si>
  <si>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</si>
  <si>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</si>
  <si>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</si>
  <si>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</si>
  <si>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</si>
  <si>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</si>
  <si>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</si>
  <si>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</si>
  <si>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</si>
  <si>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</si>
  <si>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</si>
  <si>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</si>
  <si>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</si>
  <si>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</si>
  <si>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</si>
  <si>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</si>
  <si>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</si>
  <si>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</si>
  <si>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</si>
  <si>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</si>
  <si>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</si>
  <si>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</si>
  <si>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</si>
  <si>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</si>
  <si>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</si>
  <si>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</si>
  <si>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</si>
  <si>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</si>
  <si>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</si>
  <si>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</si>
  <si>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</si>
  <si>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</si>
  <si>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</si>
  <si>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</si>
  <si>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</si>
  <si>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</si>
  <si>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</si>
  <si>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</si>
  <si>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</si>
  <si>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</si>
  <si>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</si>
  <si>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</si>
  <si>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</si>
  <si>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</si>
  <si>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</si>
  <si>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</si>
  <si>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</si>
  <si>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</si>
  <si>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</si>
  <si>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</si>
  <si>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</si>
  <si>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</si>
  <si>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</si>
  <si>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</si>
  <si>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</si>
  <si>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</si>
  <si>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</si>
  <si>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</si>
  <si>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</si>
  <si>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</si>
  <si>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</si>
  <si>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</si>
  <si>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</si>
  <si>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</si>
  <si>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</si>
  <si>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</si>
  <si>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</si>
  <si>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     PRS/A12-1</t>
  </si>
  <si>
    <t xml:space="preserve">      Abacavir</t>
  </si>
  <si>
    <t>Joyfrida</t>
  </si>
  <si>
    <t>30th Sept 2015</t>
  </si>
  <si>
    <t>22nd Sept 2015</t>
  </si>
  <si>
    <t xml:space="preserve">         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</si>
</sst>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173" fontId="5" fillId="2" borderId="0" xfId="0" applyNumberFormat="1" applyFont="1" applyFill="1" applyAlignment="1">
      <alignment horizontal="center"/>
    </xf>
    <xf numFmtId="0" fontId="24" fillId="2" borderId="7" xfId="0" applyFont="1" applyFill="1" applyBorder="1"/>
    <xf numFmtId="0" fontId="24" fillId="3" borderId="3" xfId="0" applyFont="1" applyFill="1" applyBorder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0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3TC"/>
      <sheetName val="Uniformity"/>
      <sheetName val="Abacavir"/>
      <sheetName val="Lamividune"/>
    </sheetNames>
    <sheetDataSet>
      <sheetData sheetId="0" refreshError="1"/>
      <sheetData sheetId="1" refreshError="1"/>
      <sheetData sheetId="2" refreshError="1"/>
      <sheetData sheetId="3">
        <row r="18">
          <cell r="B18" t="str">
            <v>ABACAVIR SULFATE &amp; LAMIVUDINE TABLETS</v>
          </cell>
        </row>
        <row r="79">
          <cell r="B79" t="str">
            <v>Abacavir sulphate</v>
          </cell>
        </row>
        <row r="81">
          <cell r="B81">
            <v>99.4</v>
          </cell>
        </row>
        <row r="96">
          <cell r="D96">
            <v>29.06</v>
          </cell>
        </row>
        <row r="99">
          <cell r="D99">
            <v>4.9323584704654561E-2</v>
          </cell>
        </row>
      </sheetData>
      <sheetData sheetId="4">
        <row r="26">
          <cell r="B26" t="str">
            <v>Lamivudine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view="pageBreakPreview" topLeftCell="A16" zoomScale="60" zoomScaleNormal="100" workbookViewId="0">
      <selection activeCell="G44" sqref="G4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Abacavir!B18</f>
        <v>ABACAVIR SULFATE 300MG TABLETS</v>
      </c>
      <c r="D17" s="9"/>
      <c r="E17" s="10"/>
    </row>
    <row r="18" spans="1:6" ht="16.5" customHeight="1" x14ac:dyDescent="0.3">
      <c r="A18" s="11" t="s">
        <v>4</v>
      </c>
      <c r="B18" s="8" t="str">
        <f>Abacavir!B19</f>
        <v>NDQD201508158</v>
      </c>
      <c r="C18" s="10"/>
      <c r="D18" s="10"/>
      <c r="E18" s="10"/>
    </row>
    <row r="19" spans="1:6" ht="16.5" customHeight="1" x14ac:dyDescent="0.3">
      <c r="A19" s="11" t="s">
        <v>6</v>
      </c>
      <c r="B19" s="12">
        <f>Abacavir!B28</f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f>Abacavir!D43</f>
        <v>30.13</v>
      </c>
      <c r="C20" s="10"/>
      <c r="D20" s="10"/>
      <c r="E20" s="10"/>
    </row>
    <row r="21" spans="1:6" ht="16.5" customHeight="1" x14ac:dyDescent="0.3">
      <c r="A21" s="7" t="s">
        <v>10</v>
      </c>
      <c r="B21" s="280">
        <f>Abacavir!D46</f>
        <v>0.25569086297930704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3" t="s">
        <v>12</v>
      </c>
      <c r="B23" s="14" t="s">
        <v>13</v>
      </c>
      <c r="C23" s="13" t="s">
        <v>14</v>
      </c>
      <c r="D23" s="13" t="s">
        <v>15</v>
      </c>
      <c r="E23" s="15" t="s">
        <v>16</v>
      </c>
    </row>
    <row r="24" spans="1:6" ht="16.5" customHeight="1" x14ac:dyDescent="0.3">
      <c r="A24" s="16">
        <v>1</v>
      </c>
      <c r="B24" s="17">
        <v>45994636</v>
      </c>
      <c r="C24" s="17">
        <v>7436.49</v>
      </c>
      <c r="D24" s="18">
        <v>1.06</v>
      </c>
      <c r="E24" s="19">
        <v>7</v>
      </c>
    </row>
    <row r="25" spans="1:6" ht="16.5" customHeight="1" x14ac:dyDescent="0.3">
      <c r="A25" s="16">
        <v>2</v>
      </c>
      <c r="B25" s="17">
        <v>45974352</v>
      </c>
      <c r="C25" s="17">
        <v>7406.94</v>
      </c>
      <c r="D25" s="18">
        <v>1.05</v>
      </c>
      <c r="E25" s="18">
        <v>7.01</v>
      </c>
    </row>
    <row r="26" spans="1:6" ht="16.5" customHeight="1" x14ac:dyDescent="0.3">
      <c r="A26" s="16">
        <v>3</v>
      </c>
      <c r="B26" s="17">
        <v>46210905</v>
      </c>
      <c r="C26" s="17">
        <v>7350.18</v>
      </c>
      <c r="D26" s="18">
        <v>1.05</v>
      </c>
      <c r="E26" s="18">
        <v>7.02</v>
      </c>
    </row>
    <row r="27" spans="1:6" ht="16.5" customHeight="1" x14ac:dyDescent="0.3">
      <c r="A27" s="16">
        <v>4</v>
      </c>
      <c r="B27" s="17">
        <v>46345916</v>
      </c>
      <c r="C27" s="17">
        <v>7390.44</v>
      </c>
      <c r="D27" s="18">
        <v>1.04</v>
      </c>
      <c r="E27" s="18">
        <v>7.01</v>
      </c>
    </row>
    <row r="28" spans="1:6" ht="16.5" customHeight="1" x14ac:dyDescent="0.3">
      <c r="A28" s="16">
        <v>5</v>
      </c>
      <c r="B28" s="17">
        <v>46271118</v>
      </c>
      <c r="C28" s="17">
        <v>7318.72</v>
      </c>
      <c r="D28" s="18">
        <v>1.06</v>
      </c>
      <c r="E28" s="18">
        <v>7.01</v>
      </c>
    </row>
    <row r="29" spans="1:6" ht="16.5" customHeight="1" x14ac:dyDescent="0.3">
      <c r="A29" s="16">
        <v>6</v>
      </c>
      <c r="B29" s="20">
        <v>46269446</v>
      </c>
      <c r="C29" s="20">
        <v>7283.77</v>
      </c>
      <c r="D29" s="21">
        <v>1.04</v>
      </c>
      <c r="E29" s="21">
        <v>7.04</v>
      </c>
    </row>
    <row r="30" spans="1:6" ht="16.5" customHeight="1" x14ac:dyDescent="0.3">
      <c r="A30" s="22" t="s">
        <v>17</v>
      </c>
      <c r="B30" s="23">
        <f>AVERAGE(B24:B29)</f>
        <v>46177728.833333336</v>
      </c>
      <c r="C30" s="24">
        <f>AVERAGE(C24:C29)</f>
        <v>7364.4233333333323</v>
      </c>
      <c r="D30" s="25">
        <f>AVERAGE(D24:D29)</f>
        <v>1.05</v>
      </c>
      <c r="E30" s="25">
        <f>AVERAGE(E24:E29)</f>
        <v>7.0149999999999997</v>
      </c>
    </row>
    <row r="31" spans="1:6" ht="16.5" customHeight="1" x14ac:dyDescent="0.3">
      <c r="A31" s="26" t="s">
        <v>18</v>
      </c>
      <c r="B31" s="27">
        <f>(STDEV(B24:B29)/B30)</f>
        <v>3.3744500306428929E-3</v>
      </c>
      <c r="C31" s="28"/>
      <c r="D31" s="28"/>
      <c r="E31" s="29"/>
      <c r="F31" s="2"/>
    </row>
    <row r="32" spans="1:6" s="2" customFormat="1" ht="16.5" customHeight="1" x14ac:dyDescent="0.3">
      <c r="A32" s="30" t="s">
        <v>19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20</v>
      </c>
      <c r="B34" s="36" t="s">
        <v>21</v>
      </c>
      <c r="C34" s="37"/>
      <c r="D34" s="37"/>
      <c r="E34" s="38"/>
    </row>
    <row r="35" spans="1:6" ht="16.5" customHeight="1" x14ac:dyDescent="0.3">
      <c r="A35" s="11"/>
      <c r="B35" s="36" t="s">
        <v>22</v>
      </c>
      <c r="C35" s="37"/>
      <c r="D35" s="37"/>
      <c r="E35" s="38"/>
      <c r="F35" s="2"/>
    </row>
    <row r="36" spans="1:6" ht="16.5" customHeight="1" x14ac:dyDescent="0.3">
      <c r="A36" s="11"/>
      <c r="B36" s="39" t="s">
        <v>23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tr">
        <f>[1]Abacavir!B79</f>
        <v>Abacavir sulphate</v>
      </c>
      <c r="C39" s="71"/>
      <c r="D39" s="71"/>
      <c r="E39" s="71"/>
    </row>
    <row r="40" spans="1:6" ht="16.5" customHeight="1" x14ac:dyDescent="0.3">
      <c r="A40" s="11" t="s">
        <v>6</v>
      </c>
      <c r="B40" s="12">
        <f>[1]Abacavir!B81</f>
        <v>99.4</v>
      </c>
      <c r="C40" s="71"/>
      <c r="D40" s="71"/>
      <c r="E40" s="71"/>
    </row>
    <row r="41" spans="1:6" ht="16.5" customHeight="1" x14ac:dyDescent="0.3">
      <c r="A41" s="7" t="s">
        <v>8</v>
      </c>
      <c r="B41" s="12">
        <f>[1]Abacavir!D96</f>
        <v>29.06</v>
      </c>
      <c r="C41" s="71"/>
      <c r="D41" s="71"/>
      <c r="E41" s="71"/>
    </row>
    <row r="42" spans="1:6" ht="16.5" customHeight="1" x14ac:dyDescent="0.3">
      <c r="A42" s="7" t="s">
        <v>10</v>
      </c>
      <c r="B42" s="12">
        <f>[1]Abacavir!D99</f>
        <v>4.9323584704654561E-2</v>
      </c>
      <c r="C42" s="71"/>
      <c r="D42" s="71"/>
      <c r="E42" s="71"/>
    </row>
    <row r="43" spans="1:6" ht="15.75" customHeight="1" x14ac:dyDescent="0.25">
      <c r="A43" s="10"/>
      <c r="B43" s="71"/>
      <c r="C43" s="71"/>
      <c r="D43" s="71"/>
      <c r="E43" s="71"/>
    </row>
    <row r="44" spans="1:6" ht="16.5" customHeight="1" x14ac:dyDescent="0.3">
      <c r="A44" s="13" t="s">
        <v>12</v>
      </c>
      <c r="B44" s="14" t="s">
        <v>13</v>
      </c>
      <c r="C44" s="15" t="s">
        <v>14</v>
      </c>
      <c r="D44" s="15" t="s">
        <v>15</v>
      </c>
      <c r="E44" s="15" t="s">
        <v>16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17</v>
      </c>
      <c r="B51" s="23"/>
      <c r="C51" s="24"/>
      <c r="D51" s="25"/>
      <c r="E51" s="25"/>
    </row>
    <row r="52" spans="1:7" ht="16.5" customHeight="1" x14ac:dyDescent="0.3">
      <c r="A52" s="26" t="s">
        <v>18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19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20</v>
      </c>
      <c r="B55" s="36" t="s">
        <v>21</v>
      </c>
      <c r="C55" s="37"/>
      <c r="D55" s="37"/>
      <c r="E55" s="38"/>
    </row>
    <row r="56" spans="1:7" ht="16.5" customHeight="1" x14ac:dyDescent="0.3">
      <c r="A56" s="11"/>
      <c r="B56" s="36" t="s">
        <v>22</v>
      </c>
      <c r="C56" s="37"/>
      <c r="D56" s="37"/>
      <c r="E56" s="38"/>
      <c r="F56" s="2"/>
    </row>
    <row r="57" spans="1:7" ht="16.5" customHeight="1" x14ac:dyDescent="0.3">
      <c r="A57" s="11"/>
      <c r="B57" s="39" t="s">
        <v>23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285" t="s">
        <v>25</v>
      </c>
      <c r="C59" s="285"/>
      <c r="E59" s="44" t="s">
        <v>26</v>
      </c>
      <c r="F59" s="45"/>
      <c r="G59" s="44" t="s">
        <v>27</v>
      </c>
    </row>
    <row r="60" spans="1:7" ht="24" customHeight="1" x14ac:dyDescent="0.3">
      <c r="A60" s="46" t="s">
        <v>28</v>
      </c>
      <c r="B60" s="47"/>
      <c r="C60" s="47" t="s">
        <v>129</v>
      </c>
      <c r="E60" s="47" t="s">
        <v>127</v>
      </c>
      <c r="F60" s="2"/>
      <c r="G60" s="48"/>
    </row>
    <row r="61" spans="1:7" ht="26.25" customHeight="1" x14ac:dyDescent="0.3">
      <c r="A61" s="46" t="s">
        <v>29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8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30</v>
      </c>
      <c r="B11" s="290"/>
      <c r="C11" s="290"/>
      <c r="D11" s="290"/>
      <c r="E11" s="290"/>
      <c r="F11" s="291"/>
      <c r="G11" s="90"/>
    </row>
    <row r="12" spans="1:7" ht="16.5" customHeight="1" x14ac:dyDescent="0.3">
      <c r="A12" s="288" t="s">
        <v>31</v>
      </c>
      <c r="B12" s="288"/>
      <c r="C12" s="288"/>
      <c r="D12" s="288"/>
      <c r="E12" s="288"/>
      <c r="F12" s="288"/>
      <c r="G12" s="89"/>
    </row>
    <row r="14" spans="1:7" ht="16.5" customHeight="1" x14ac:dyDescent="0.3">
      <c r="A14" s="293" t="s">
        <v>32</v>
      </c>
      <c r="B14" s="293"/>
      <c r="C14" s="59" t="s">
        <v>5</v>
      </c>
    </row>
    <row r="15" spans="1:7" ht="16.5" customHeight="1" x14ac:dyDescent="0.3">
      <c r="A15" s="293" t="s">
        <v>33</v>
      </c>
      <c r="B15" s="293"/>
      <c r="C15" s="59" t="s">
        <v>7</v>
      </c>
    </row>
    <row r="16" spans="1:7" ht="16.5" customHeight="1" x14ac:dyDescent="0.3">
      <c r="A16" s="293" t="s">
        <v>34</v>
      </c>
      <c r="B16" s="293"/>
      <c r="C16" s="59" t="s">
        <v>9</v>
      </c>
    </row>
    <row r="17" spans="1:5" ht="16.5" customHeight="1" x14ac:dyDescent="0.3">
      <c r="A17" s="293" t="s">
        <v>35</v>
      </c>
      <c r="B17" s="293"/>
      <c r="C17" s="59" t="s">
        <v>11</v>
      </c>
    </row>
    <row r="18" spans="1:5" ht="16.5" customHeight="1" x14ac:dyDescent="0.3">
      <c r="A18" s="293" t="s">
        <v>36</v>
      </c>
      <c r="B18" s="293"/>
      <c r="C18" s="96" t="str">
        <f>Abacavir!B22</f>
        <v>22nd Sept 2015</v>
      </c>
    </row>
    <row r="19" spans="1:5" ht="16.5" customHeight="1" x14ac:dyDescent="0.3">
      <c r="A19" s="293" t="s">
        <v>37</v>
      </c>
      <c r="B19" s="293"/>
      <c r="C19" s="96" t="str">
        <f>Abacavir!B23</f>
        <v>30th Sept 2015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88" t="s">
        <v>1</v>
      </c>
      <c r="B21" s="288"/>
      <c r="C21" s="58" t="s">
        <v>38</v>
      </c>
      <c r="D21" s="65"/>
    </row>
    <row r="22" spans="1:5" ht="15.75" customHeight="1" x14ac:dyDescent="0.3">
      <c r="A22" s="292"/>
      <c r="B22" s="292"/>
      <c r="C22" s="56"/>
      <c r="D22" s="292"/>
      <c r="E22" s="292"/>
    </row>
    <row r="23" spans="1:5" ht="33.75" customHeight="1" x14ac:dyDescent="0.3">
      <c r="C23" s="85" t="s">
        <v>39</v>
      </c>
      <c r="D23" s="84" t="s">
        <v>40</v>
      </c>
      <c r="E23" s="51"/>
    </row>
    <row r="24" spans="1:5" ht="15.75" customHeight="1" x14ac:dyDescent="0.3">
      <c r="C24" s="94">
        <v>816.08</v>
      </c>
      <c r="D24" s="86">
        <f t="shared" ref="D24:D43" si="0">(C24-$C$46)/$C$46</f>
        <v>-8.8839499875516051E-3</v>
      </c>
      <c r="E24" s="52"/>
    </row>
    <row r="25" spans="1:5" ht="15.75" customHeight="1" x14ac:dyDescent="0.3">
      <c r="C25" s="94">
        <v>831.32</v>
      </c>
      <c r="D25" s="87">
        <f t="shared" si="0"/>
        <v>9.6247851881538678E-3</v>
      </c>
      <c r="E25" s="52"/>
    </row>
    <row r="26" spans="1:5" ht="15.75" customHeight="1" x14ac:dyDescent="0.3">
      <c r="C26" s="94">
        <v>821.49</v>
      </c>
      <c r="D26" s="87">
        <f t="shared" si="0"/>
        <v>-2.3135918969632878E-3</v>
      </c>
      <c r="E26" s="52"/>
    </row>
    <row r="27" spans="1:5" ht="15.75" customHeight="1" x14ac:dyDescent="0.3">
      <c r="C27" s="94">
        <v>818.76</v>
      </c>
      <c r="D27" s="87">
        <f t="shared" si="0"/>
        <v>-5.6291330406428317E-3</v>
      </c>
      <c r="E27" s="52"/>
    </row>
    <row r="28" spans="1:5" ht="15.75" customHeight="1" x14ac:dyDescent="0.3">
      <c r="C28" s="94">
        <v>827.4</v>
      </c>
      <c r="D28" s="87">
        <f t="shared" si="0"/>
        <v>4.8640081613319022E-3</v>
      </c>
      <c r="E28" s="52"/>
    </row>
    <row r="29" spans="1:5" ht="15.75" customHeight="1" x14ac:dyDescent="0.3">
      <c r="C29" s="94">
        <v>831.22</v>
      </c>
      <c r="D29" s="87">
        <f t="shared" si="0"/>
        <v>9.5033367946124655E-3</v>
      </c>
      <c r="E29" s="52"/>
    </row>
    <row r="30" spans="1:5" ht="15.75" customHeight="1" x14ac:dyDescent="0.3">
      <c r="C30" s="94">
        <v>837.88</v>
      </c>
      <c r="D30" s="87">
        <f t="shared" si="0"/>
        <v>1.7591799804467963E-2</v>
      </c>
      <c r="E30" s="52"/>
    </row>
    <row r="31" spans="1:5" ht="15.75" customHeight="1" x14ac:dyDescent="0.3">
      <c r="C31" s="94">
        <v>828.14</v>
      </c>
      <c r="D31" s="87">
        <f t="shared" si="0"/>
        <v>5.7627262735380838E-3</v>
      </c>
      <c r="E31" s="52"/>
    </row>
    <row r="32" spans="1:5" ht="15.75" customHeight="1" x14ac:dyDescent="0.3">
      <c r="C32" s="94">
        <v>828.04</v>
      </c>
      <c r="D32" s="87">
        <f t="shared" si="0"/>
        <v>5.6412778799966815E-3</v>
      </c>
      <c r="E32" s="52"/>
    </row>
    <row r="33" spans="1:7" ht="15.75" customHeight="1" x14ac:dyDescent="0.3">
      <c r="C33" s="94">
        <v>817.52</v>
      </c>
      <c r="D33" s="87">
        <f t="shared" si="0"/>
        <v>-7.1350931205558851E-3</v>
      </c>
      <c r="E33" s="52"/>
    </row>
    <row r="34" spans="1:7" ht="15.75" customHeight="1" x14ac:dyDescent="0.3">
      <c r="C34" s="94">
        <v>822.6</v>
      </c>
      <c r="D34" s="87">
        <f t="shared" si="0"/>
        <v>-9.6551472865401495E-4</v>
      </c>
      <c r="E34" s="52"/>
    </row>
    <row r="35" spans="1:7" ht="15.75" customHeight="1" x14ac:dyDescent="0.3">
      <c r="C35" s="94">
        <v>812.95</v>
      </c>
      <c r="D35" s="87">
        <f t="shared" si="0"/>
        <v>-1.2685284705396619E-2</v>
      </c>
      <c r="E35" s="52"/>
    </row>
    <row r="36" spans="1:7" ht="15.75" customHeight="1" x14ac:dyDescent="0.3">
      <c r="C36" s="94">
        <v>821.92</v>
      </c>
      <c r="D36" s="87">
        <f t="shared" si="0"/>
        <v>-1.7913638047354383E-3</v>
      </c>
      <c r="E36" s="52"/>
    </row>
    <row r="37" spans="1:7" ht="15.75" customHeight="1" x14ac:dyDescent="0.3">
      <c r="C37" s="94">
        <v>821.74</v>
      </c>
      <c r="D37" s="87">
        <f t="shared" si="0"/>
        <v>-2.0099709131098514E-3</v>
      </c>
      <c r="E37" s="52"/>
    </row>
    <row r="38" spans="1:7" ht="15.75" customHeight="1" x14ac:dyDescent="0.3">
      <c r="C38" s="94">
        <v>823.54</v>
      </c>
      <c r="D38" s="87">
        <f t="shared" si="0"/>
        <v>1.7610017063483273E-4</v>
      </c>
      <c r="E38" s="52"/>
    </row>
    <row r="39" spans="1:7" ht="15.75" customHeight="1" x14ac:dyDescent="0.3">
      <c r="C39" s="94">
        <v>816.21</v>
      </c>
      <c r="D39" s="87">
        <f t="shared" si="0"/>
        <v>-8.7260670759478232E-3</v>
      </c>
      <c r="E39" s="52"/>
    </row>
    <row r="40" spans="1:7" ht="15.75" customHeight="1" x14ac:dyDescent="0.3">
      <c r="C40" s="94">
        <v>828.63</v>
      </c>
      <c r="D40" s="87">
        <f t="shared" si="0"/>
        <v>6.3578234018908291E-3</v>
      </c>
      <c r="E40" s="52"/>
    </row>
    <row r="41" spans="1:7" ht="15.75" customHeight="1" x14ac:dyDescent="0.3">
      <c r="C41" s="94">
        <v>817.71</v>
      </c>
      <c r="D41" s="87">
        <f t="shared" si="0"/>
        <v>-6.904341172827207E-3</v>
      </c>
      <c r="E41" s="52"/>
    </row>
    <row r="42" spans="1:7" ht="15.75" customHeight="1" x14ac:dyDescent="0.3">
      <c r="C42" s="94">
        <v>814.18</v>
      </c>
      <c r="D42" s="87">
        <f t="shared" si="0"/>
        <v>-1.1191469464837829E-2</v>
      </c>
      <c r="E42" s="52"/>
    </row>
    <row r="43" spans="1:7" ht="16.5" customHeight="1" x14ac:dyDescent="0.3">
      <c r="C43" s="95">
        <v>830.57</v>
      </c>
      <c r="D43" s="88">
        <f t="shared" si="0"/>
        <v>8.7139222365935597E-3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41</v>
      </c>
      <c r="C45" s="82">
        <f>SUM(C24:C44)</f>
        <v>16467.900000000001</v>
      </c>
      <c r="D45" s="77"/>
      <c r="E45" s="53"/>
    </row>
    <row r="46" spans="1:7" ht="17.25" customHeight="1" x14ac:dyDescent="0.3">
      <c r="B46" s="81" t="s">
        <v>42</v>
      </c>
      <c r="C46" s="83">
        <f>AVERAGE(C24:C44)</f>
        <v>823.3950000000001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42</v>
      </c>
      <c r="C48" s="84" t="s">
        <v>43</v>
      </c>
      <c r="D48" s="79"/>
      <c r="G48" s="57"/>
    </row>
    <row r="49" spans="1:6" ht="17.25" customHeight="1" x14ac:dyDescent="0.3">
      <c r="B49" s="286">
        <f>C46</f>
        <v>823.3950000000001</v>
      </c>
      <c r="C49" s="92">
        <f>-IF(C46&lt;=80,10%,IF(C46&lt;250,7.5%,5%))</f>
        <v>-0.05</v>
      </c>
      <c r="D49" s="80">
        <f>IF(C46&lt;=80,C46*0.9,IF(C46&lt;250,C46*0.925,C46*0.95))</f>
        <v>782.22525000000007</v>
      </c>
    </row>
    <row r="50" spans="1:6" ht="17.25" customHeight="1" x14ac:dyDescent="0.3">
      <c r="B50" s="287"/>
      <c r="C50" s="93">
        <f>IF(C46&lt;=80, 10%, IF(C46&lt;250, 7.5%, 5%))</f>
        <v>0.05</v>
      </c>
      <c r="D50" s="80">
        <f>IF(C46&lt;=80, C46*1.1, IF(C46&lt;250, C46*1.075, C46*1.05))</f>
        <v>864.56475000000012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25</v>
      </c>
      <c r="C52" s="66"/>
      <c r="D52" s="67" t="s">
        <v>26</v>
      </c>
      <c r="E52" s="68"/>
      <c r="F52" s="67" t="s">
        <v>27</v>
      </c>
    </row>
    <row r="53" spans="1:6" ht="34.5" customHeight="1" x14ac:dyDescent="0.3">
      <c r="A53" s="69" t="s">
        <v>28</v>
      </c>
      <c r="B53" s="70" t="s">
        <v>126</v>
      </c>
      <c r="C53" s="71"/>
      <c r="D53" s="70" t="s">
        <v>127</v>
      </c>
      <c r="E53" s="60"/>
      <c r="F53" s="72"/>
    </row>
    <row r="54" spans="1:6" ht="34.5" customHeight="1" x14ac:dyDescent="0.3">
      <c r="A54" s="69" t="s">
        <v>29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7" orientation="portrait" r:id="rId1"/>
  <headerFooter alignWithMargins="0"/>
  <rowBreaks count="1" manualBreakCount="1">
    <brk id="58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2" zoomScale="60" zoomScaleNormal="40" zoomScalePageLayoutView="50" workbookViewId="0">
      <selection activeCell="D95" sqref="D9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4" t="s">
        <v>44</v>
      </c>
      <c r="B1" s="294"/>
      <c r="C1" s="294"/>
      <c r="D1" s="294"/>
      <c r="E1" s="294"/>
      <c r="F1" s="294"/>
      <c r="G1" s="294"/>
      <c r="H1" s="294"/>
      <c r="I1" s="294"/>
    </row>
    <row r="2" spans="1:9" ht="18.75" customHeight="1" x14ac:dyDescent="0.25">
      <c r="A2" s="294"/>
      <c r="B2" s="294"/>
      <c r="C2" s="294"/>
      <c r="D2" s="294"/>
      <c r="E2" s="294"/>
      <c r="F2" s="294"/>
      <c r="G2" s="294"/>
      <c r="H2" s="294"/>
      <c r="I2" s="294"/>
    </row>
    <row r="3" spans="1:9" ht="18.75" customHeight="1" x14ac:dyDescent="0.25">
      <c r="A3" s="294"/>
      <c r="B3" s="294"/>
      <c r="C3" s="294"/>
      <c r="D3" s="294"/>
      <c r="E3" s="294"/>
      <c r="F3" s="294"/>
      <c r="G3" s="294"/>
      <c r="H3" s="294"/>
      <c r="I3" s="294"/>
    </row>
    <row r="4" spans="1:9" ht="18.75" customHeight="1" x14ac:dyDescent="0.25">
      <c r="A4" s="294"/>
      <c r="B4" s="294"/>
      <c r="C4" s="294"/>
      <c r="D4" s="294"/>
      <c r="E4" s="294"/>
      <c r="F4" s="294"/>
      <c r="G4" s="294"/>
      <c r="H4" s="294"/>
      <c r="I4" s="294"/>
    </row>
    <row r="5" spans="1:9" ht="18.75" customHeight="1" x14ac:dyDescent="0.25">
      <c r="A5" s="294"/>
      <c r="B5" s="294"/>
      <c r="C5" s="294"/>
      <c r="D5" s="294"/>
      <c r="E5" s="294"/>
      <c r="F5" s="294"/>
      <c r="G5" s="294"/>
      <c r="H5" s="294"/>
      <c r="I5" s="294"/>
    </row>
    <row r="6" spans="1:9" ht="18.75" customHeight="1" x14ac:dyDescent="0.25">
      <c r="A6" s="294"/>
      <c r="B6" s="294"/>
      <c r="C6" s="294"/>
      <c r="D6" s="294"/>
      <c r="E6" s="294"/>
      <c r="F6" s="294"/>
      <c r="G6" s="294"/>
      <c r="H6" s="294"/>
      <c r="I6" s="294"/>
    </row>
    <row r="7" spans="1:9" ht="18.75" customHeight="1" x14ac:dyDescent="0.25">
      <c r="A7" s="294"/>
      <c r="B7" s="294"/>
      <c r="C7" s="294"/>
      <c r="D7" s="294"/>
      <c r="E7" s="294"/>
      <c r="F7" s="294"/>
      <c r="G7" s="294"/>
      <c r="H7" s="294"/>
      <c r="I7" s="294"/>
    </row>
    <row r="8" spans="1:9" x14ac:dyDescent="0.25">
      <c r="A8" s="295" t="s">
        <v>45</v>
      </c>
      <c r="B8" s="295"/>
      <c r="C8" s="295"/>
      <c r="D8" s="295"/>
      <c r="E8" s="295"/>
      <c r="F8" s="295"/>
      <c r="G8" s="295"/>
      <c r="H8" s="295"/>
      <c r="I8" s="295"/>
    </row>
    <row r="9" spans="1:9" x14ac:dyDescent="0.25">
      <c r="A9" s="295"/>
      <c r="B9" s="295"/>
      <c r="C9" s="295"/>
      <c r="D9" s="295"/>
      <c r="E9" s="295"/>
      <c r="F9" s="295"/>
      <c r="G9" s="295"/>
      <c r="H9" s="295"/>
      <c r="I9" s="295"/>
    </row>
    <row r="10" spans="1:9" x14ac:dyDescent="0.25">
      <c r="A10" s="295"/>
      <c r="B10" s="295"/>
      <c r="C10" s="295"/>
      <c r="D10" s="295"/>
      <c r="E10" s="295"/>
      <c r="F10" s="295"/>
      <c r="G10" s="295"/>
      <c r="H10" s="295"/>
      <c r="I10" s="295"/>
    </row>
    <row r="11" spans="1:9" x14ac:dyDescent="0.25">
      <c r="A11" s="295"/>
      <c r="B11" s="295"/>
      <c r="C11" s="295"/>
      <c r="D11" s="295"/>
      <c r="E11" s="295"/>
      <c r="F11" s="295"/>
      <c r="G11" s="295"/>
      <c r="H11" s="295"/>
      <c r="I11" s="295"/>
    </row>
    <row r="12" spans="1:9" x14ac:dyDescent="0.25">
      <c r="A12" s="295"/>
      <c r="B12" s="295"/>
      <c r="C12" s="295"/>
      <c r="D12" s="295"/>
      <c r="E12" s="295"/>
      <c r="F12" s="295"/>
      <c r="G12" s="295"/>
      <c r="H12" s="295"/>
      <c r="I12" s="295"/>
    </row>
    <row r="13" spans="1:9" x14ac:dyDescent="0.25">
      <c r="A13" s="295"/>
      <c r="B13" s="295"/>
      <c r="C13" s="295"/>
      <c r="D13" s="295"/>
      <c r="E13" s="295"/>
      <c r="F13" s="295"/>
      <c r="G13" s="295"/>
      <c r="H13" s="295"/>
      <c r="I13" s="295"/>
    </row>
    <row r="14" spans="1:9" x14ac:dyDescent="0.25">
      <c r="A14" s="295"/>
      <c r="B14" s="295"/>
      <c r="C14" s="295"/>
      <c r="D14" s="295"/>
      <c r="E14" s="295"/>
      <c r="F14" s="295"/>
      <c r="G14" s="295"/>
      <c r="H14" s="295"/>
      <c r="I14" s="295"/>
    </row>
    <row r="15" spans="1:9" ht="19.5" customHeight="1" x14ac:dyDescent="0.3">
      <c r="A15" s="97"/>
    </row>
    <row r="16" spans="1:9" ht="19.5" customHeight="1" x14ac:dyDescent="0.3">
      <c r="A16" s="328" t="s">
        <v>30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46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99" t="s">
        <v>32</v>
      </c>
      <c r="B18" s="327" t="s">
        <v>5</v>
      </c>
      <c r="C18" s="327"/>
      <c r="D18" s="266"/>
      <c r="E18" s="100"/>
      <c r="F18" s="101"/>
      <c r="G18" s="101"/>
      <c r="H18" s="101"/>
    </row>
    <row r="19" spans="1:14" ht="26.25" customHeight="1" x14ac:dyDescent="0.4">
      <c r="A19" s="99" t="s">
        <v>33</v>
      </c>
      <c r="B19" s="102" t="s">
        <v>7</v>
      </c>
      <c r="C19" s="268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34</v>
      </c>
      <c r="B20" s="332" t="s">
        <v>9</v>
      </c>
      <c r="C20" s="332"/>
      <c r="D20" s="101"/>
      <c r="E20" s="101"/>
      <c r="F20" s="101"/>
      <c r="G20" s="101"/>
      <c r="H20" s="101"/>
    </row>
    <row r="21" spans="1:14" ht="26.25" customHeight="1" x14ac:dyDescent="0.4">
      <c r="A21" s="99" t="s">
        <v>35</v>
      </c>
      <c r="B21" s="332" t="s">
        <v>11</v>
      </c>
      <c r="C21" s="332"/>
      <c r="D21" s="332"/>
      <c r="E21" s="332"/>
      <c r="F21" s="332"/>
      <c r="G21" s="332"/>
      <c r="H21" s="332"/>
      <c r="I21" s="103"/>
    </row>
    <row r="22" spans="1:14" ht="26.25" customHeight="1" x14ac:dyDescent="0.4">
      <c r="A22" s="99" t="s">
        <v>36</v>
      </c>
      <c r="B22" s="104" t="s">
        <v>128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37</v>
      </c>
      <c r="B23" s="104" t="s">
        <v>127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27" t="s">
        <v>125</v>
      </c>
      <c r="C26" s="327"/>
      <c r="D26" s="225"/>
      <c r="E26" s="225"/>
      <c r="F26" s="225"/>
      <c r="G26" s="225"/>
      <c r="H26" s="225"/>
    </row>
    <row r="27" spans="1:14" ht="26.25" customHeight="1" x14ac:dyDescent="0.4">
      <c r="A27" s="108" t="s">
        <v>47</v>
      </c>
      <c r="B27" s="324" t="s">
        <v>124</v>
      </c>
      <c r="C27" s="324"/>
      <c r="D27" s="225"/>
      <c r="E27" s="225"/>
      <c r="F27" s="225"/>
      <c r="G27" s="225"/>
      <c r="H27" s="225"/>
    </row>
    <row r="28" spans="1:14" ht="27" customHeight="1" x14ac:dyDescent="0.4">
      <c r="A28" s="108" t="s">
        <v>6</v>
      </c>
      <c r="B28" s="207">
        <v>99.4</v>
      </c>
      <c r="C28" s="225"/>
      <c r="D28" s="225"/>
      <c r="E28" s="225"/>
      <c r="F28" s="225"/>
      <c r="G28" s="225"/>
      <c r="H28" s="225"/>
    </row>
    <row r="29" spans="1:14" s="13" customFormat="1" ht="27" customHeight="1" x14ac:dyDescent="0.4">
      <c r="A29" s="108" t="s">
        <v>48</v>
      </c>
      <c r="B29" s="110">
        <v>0</v>
      </c>
      <c r="C29" s="303" t="s">
        <v>49</v>
      </c>
      <c r="D29" s="304"/>
      <c r="E29" s="304"/>
      <c r="F29" s="304"/>
      <c r="G29" s="305"/>
      <c r="H29" s="15"/>
      <c r="I29" s="111"/>
      <c r="J29" s="111"/>
      <c r="K29" s="111"/>
      <c r="L29" s="111"/>
    </row>
    <row r="30" spans="1:14" s="13" customFormat="1" ht="19.5" customHeight="1" x14ac:dyDescent="0.3">
      <c r="A30" s="108" t="s">
        <v>50</v>
      </c>
      <c r="B30" s="278">
        <f>B28-B29</f>
        <v>99.4</v>
      </c>
      <c r="C30" s="113"/>
      <c r="D30" s="113"/>
      <c r="E30" s="113"/>
      <c r="F30" s="113"/>
      <c r="G30" s="114"/>
      <c r="H30" s="15"/>
      <c r="I30" s="111"/>
      <c r="J30" s="111"/>
      <c r="K30" s="111"/>
      <c r="L30" s="111"/>
    </row>
    <row r="31" spans="1:14" s="13" customFormat="1" ht="27" customHeight="1" x14ac:dyDescent="0.4">
      <c r="A31" s="108" t="s">
        <v>51</v>
      </c>
      <c r="B31" s="115">
        <v>572.66</v>
      </c>
      <c r="C31" s="306" t="s">
        <v>52</v>
      </c>
      <c r="D31" s="307"/>
      <c r="E31" s="307"/>
      <c r="F31" s="307"/>
      <c r="G31" s="307"/>
      <c r="H31" s="308"/>
      <c r="I31" s="111"/>
      <c r="J31" s="111"/>
      <c r="K31" s="111"/>
      <c r="L31" s="111"/>
    </row>
    <row r="32" spans="1:14" s="13" customFormat="1" ht="27" customHeight="1" x14ac:dyDescent="0.4">
      <c r="A32" s="108" t="s">
        <v>53</v>
      </c>
      <c r="B32" s="115">
        <v>670.76</v>
      </c>
      <c r="C32" s="306" t="s">
        <v>54</v>
      </c>
      <c r="D32" s="307"/>
      <c r="E32" s="307"/>
      <c r="F32" s="307"/>
      <c r="G32" s="307"/>
      <c r="H32" s="308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55</v>
      </c>
      <c r="B34" s="120">
        <f>B31/B32</f>
        <v>0.85374798735762414</v>
      </c>
      <c r="C34" s="98" t="s">
        <v>56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57</v>
      </c>
      <c r="B36" s="122">
        <v>50</v>
      </c>
      <c r="C36" s="98"/>
      <c r="D36" s="309" t="s">
        <v>58</v>
      </c>
      <c r="E36" s="326"/>
      <c r="F36" s="309" t="s">
        <v>59</v>
      </c>
      <c r="G36" s="310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60</v>
      </c>
      <c r="B37" s="124">
        <v>10</v>
      </c>
      <c r="C37" s="125" t="s">
        <v>61</v>
      </c>
      <c r="D37" s="126" t="s">
        <v>62</v>
      </c>
      <c r="E37" s="127" t="s">
        <v>63</v>
      </c>
      <c r="F37" s="126" t="s">
        <v>62</v>
      </c>
      <c r="G37" s="128" t="s">
        <v>63</v>
      </c>
      <c r="I37" s="129" t="s">
        <v>64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65</v>
      </c>
      <c r="B38" s="124">
        <v>20</v>
      </c>
      <c r="C38" s="130">
        <v>1</v>
      </c>
      <c r="D38" s="282">
        <v>45994636</v>
      </c>
      <c r="E38" s="132">
        <f>IF(ISBLANK(D38),"-",$D$48/$D$45*D38)</f>
        <v>53965130.545617886</v>
      </c>
      <c r="F38" s="131">
        <v>47754236</v>
      </c>
      <c r="G38" s="133">
        <f>IF(ISBLANK(F38),"-",$D$48/$F$45*F38)</f>
        <v>54282106.125698373</v>
      </c>
      <c r="I38" s="134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66</v>
      </c>
      <c r="B39" s="124">
        <v>1</v>
      </c>
      <c r="C39" s="135">
        <v>2</v>
      </c>
      <c r="D39" s="282">
        <v>45974352</v>
      </c>
      <c r="E39" s="137">
        <f>IF(ISBLANK(D39),"-",$D$48/$D$45*D39)</f>
        <v>53941331.494180948</v>
      </c>
      <c r="F39" s="136">
        <v>46247557</v>
      </c>
      <c r="G39" s="138">
        <f>IF(ISBLANK(F39),"-",$D$48/$F$45*F39)</f>
        <v>52569468.332155593</v>
      </c>
      <c r="I39" s="311">
        <f>ABS((F43/D43*D42)-F42)/D42</f>
        <v>9.9009812931231001E-3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67</v>
      </c>
      <c r="B40" s="124">
        <v>1</v>
      </c>
      <c r="C40" s="135">
        <v>3</v>
      </c>
      <c r="D40" s="282">
        <v>46210905</v>
      </c>
      <c r="E40" s="137">
        <f>IF(ISBLANK(D40),"-",$D$48/$D$45*D40)</f>
        <v>54218877.195944026</v>
      </c>
      <c r="F40" s="136">
        <v>47258523</v>
      </c>
      <c r="G40" s="138">
        <f>IF(ISBLANK(F40),"-",$D$48/$F$45*F40)</f>
        <v>53718630.548916273</v>
      </c>
      <c r="I40" s="311"/>
      <c r="L40" s="116"/>
      <c r="M40" s="116"/>
      <c r="N40" s="139"/>
    </row>
    <row r="41" spans="1:14" ht="27" customHeight="1" x14ac:dyDescent="0.4">
      <c r="A41" s="123" t="s">
        <v>68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69</v>
      </c>
      <c r="B42" s="124">
        <v>1</v>
      </c>
      <c r="C42" s="145" t="s">
        <v>70</v>
      </c>
      <c r="D42" s="146">
        <f>AVERAGE(D38:D41)</f>
        <v>46059964.333333336</v>
      </c>
      <c r="E42" s="147">
        <f>AVERAGE(E38:E41)</f>
        <v>54041779.745247625</v>
      </c>
      <c r="F42" s="146">
        <f>AVERAGE(F38:F41)</f>
        <v>47086772</v>
      </c>
      <c r="G42" s="148">
        <f>AVERAGE(G38:G41)</f>
        <v>53523401.668923415</v>
      </c>
      <c r="H42" s="149"/>
    </row>
    <row r="43" spans="1:14" ht="26.25" customHeight="1" x14ac:dyDescent="0.4">
      <c r="A43" s="123" t="s">
        <v>71</v>
      </c>
      <c r="B43" s="124">
        <v>1</v>
      </c>
      <c r="C43" s="150" t="s">
        <v>72</v>
      </c>
      <c r="D43" s="151">
        <v>30.13</v>
      </c>
      <c r="E43" s="139"/>
      <c r="F43" s="151">
        <v>31.1</v>
      </c>
      <c r="H43" s="149"/>
    </row>
    <row r="44" spans="1:14" ht="26.25" customHeight="1" x14ac:dyDescent="0.4">
      <c r="A44" s="123" t="s">
        <v>73</v>
      </c>
      <c r="B44" s="124">
        <v>1</v>
      </c>
      <c r="C44" s="152" t="s">
        <v>74</v>
      </c>
      <c r="D44" s="153">
        <f>D43*$B$34</f>
        <v>25.723426859085215</v>
      </c>
      <c r="E44" s="154"/>
      <c r="F44" s="153">
        <f>F43*$B$34</f>
        <v>26.551562406822111</v>
      </c>
      <c r="H44" s="149"/>
    </row>
    <row r="45" spans="1:14" ht="19.5" customHeight="1" x14ac:dyDescent="0.3">
      <c r="A45" s="123" t="s">
        <v>75</v>
      </c>
      <c r="B45" s="155">
        <f>(B44/B43)*(B42/B41)*(B40/B39)*(B38/B37)*B36</f>
        <v>100</v>
      </c>
      <c r="C45" s="152" t="s">
        <v>76</v>
      </c>
      <c r="D45" s="156">
        <f>D44*$B$30/100</f>
        <v>25.569086297930706</v>
      </c>
      <c r="E45" s="157"/>
      <c r="F45" s="156">
        <f>F44*$B$30/100</f>
        <v>26.392253032381181</v>
      </c>
      <c r="H45" s="149"/>
    </row>
    <row r="46" spans="1:14" ht="19.5" customHeight="1" x14ac:dyDescent="0.3">
      <c r="A46" s="296" t="s">
        <v>77</v>
      </c>
      <c r="B46" s="297"/>
      <c r="C46" s="152" t="s">
        <v>78</v>
      </c>
      <c r="D46" s="158">
        <f>D45/$B$45</f>
        <v>0.25569086297930704</v>
      </c>
      <c r="E46" s="159"/>
      <c r="F46" s="160">
        <f>F45/$B$45</f>
        <v>0.2639225303238118</v>
      </c>
      <c r="H46" s="149"/>
    </row>
    <row r="47" spans="1:14" ht="27" customHeight="1" x14ac:dyDescent="0.4">
      <c r="A47" s="298"/>
      <c r="B47" s="299"/>
      <c r="C47" s="161" t="s">
        <v>79</v>
      </c>
      <c r="D47" s="162">
        <v>0.3</v>
      </c>
      <c r="E47" s="163"/>
      <c r="F47" s="159"/>
      <c r="H47" s="149"/>
    </row>
    <row r="48" spans="1:14" ht="18.75" x14ac:dyDescent="0.3">
      <c r="C48" s="164" t="s">
        <v>80</v>
      </c>
      <c r="D48" s="156">
        <f>D47*$B$45</f>
        <v>30</v>
      </c>
      <c r="F48" s="165"/>
      <c r="H48" s="149"/>
    </row>
    <row r="49" spans="1:12" ht="19.5" customHeight="1" x14ac:dyDescent="0.3">
      <c r="C49" s="166" t="s">
        <v>81</v>
      </c>
      <c r="D49" s="167">
        <f>D48/B34</f>
        <v>35.139175077707542</v>
      </c>
      <c r="F49" s="165"/>
      <c r="H49" s="149"/>
    </row>
    <row r="50" spans="1:12" ht="18.75" x14ac:dyDescent="0.3">
      <c r="C50" s="121" t="s">
        <v>82</v>
      </c>
      <c r="D50" s="168">
        <f>AVERAGE(E38:E41,G38:G41)</f>
        <v>53782590.70708552</v>
      </c>
      <c r="F50" s="169"/>
      <c r="H50" s="149"/>
    </row>
    <row r="51" spans="1:12" ht="18.75" x14ac:dyDescent="0.3">
      <c r="C51" s="123" t="s">
        <v>83</v>
      </c>
      <c r="D51" s="170">
        <f>STDEV(E38:E41,G38:G41)/D50</f>
        <v>1.168320533745984E-2</v>
      </c>
      <c r="F51" s="169"/>
      <c r="H51" s="149"/>
    </row>
    <row r="52" spans="1:12" ht="19.5" customHeight="1" x14ac:dyDescent="0.3">
      <c r="C52" s="171" t="s">
        <v>19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8" t="s">
        <v>85</v>
      </c>
      <c r="B55" s="175" t="str">
        <f>B21</f>
        <v>Each film coated Tablet contains:
Abacavir Sulfate equivalent to Abacavir 300mg</v>
      </c>
    </row>
    <row r="56" spans="1:12" ht="26.25" customHeight="1" x14ac:dyDescent="0.4">
      <c r="A56" s="176" t="s">
        <v>86</v>
      </c>
      <c r="B56" s="177">
        <v>300</v>
      </c>
      <c r="C56" s="98" t="str">
        <f>B20</f>
        <v xml:space="preserve">Abacavir Sulfate </v>
      </c>
      <c r="H56" s="178"/>
    </row>
    <row r="57" spans="1:12" ht="18.75" x14ac:dyDescent="0.3">
      <c r="A57" s="175" t="s">
        <v>87</v>
      </c>
      <c r="B57" s="267">
        <f>Uniformity!C46</f>
        <v>823.3950000000001</v>
      </c>
      <c r="H57" s="178"/>
    </row>
    <row r="58" spans="1:12" ht="19.5" customHeight="1" x14ac:dyDescent="0.3">
      <c r="H58" s="178"/>
    </row>
    <row r="59" spans="1:12" s="13" customFormat="1" ht="27" customHeight="1" x14ac:dyDescent="0.4">
      <c r="A59" s="121" t="s">
        <v>88</v>
      </c>
      <c r="B59" s="122">
        <v>200</v>
      </c>
      <c r="C59" s="98"/>
      <c r="D59" s="179" t="s">
        <v>89</v>
      </c>
      <c r="E59" s="180" t="s">
        <v>61</v>
      </c>
      <c r="F59" s="180" t="s">
        <v>62</v>
      </c>
      <c r="G59" s="180" t="s">
        <v>90</v>
      </c>
      <c r="H59" s="125" t="s">
        <v>91</v>
      </c>
      <c r="L59" s="111"/>
    </row>
    <row r="60" spans="1:12" s="13" customFormat="1" ht="26.25" customHeight="1" x14ac:dyDescent="0.4">
      <c r="A60" s="123" t="s">
        <v>92</v>
      </c>
      <c r="B60" s="124">
        <v>10</v>
      </c>
      <c r="C60" s="314" t="s">
        <v>93</v>
      </c>
      <c r="D60" s="317">
        <v>335</v>
      </c>
      <c r="E60" s="181">
        <v>1</v>
      </c>
      <c r="F60" s="182">
        <v>54070931</v>
      </c>
      <c r="G60" s="269">
        <f>IF(ISBLANK(F60),"-",(F60/$D$50*$D$47*$B$68)*($B$57/$D$60))</f>
        <v>296.52874087840081</v>
      </c>
      <c r="H60" s="183">
        <f>IF(ISBLANK(F60),"-",G60/$B$56)</f>
        <v>0.98842913626133599</v>
      </c>
      <c r="L60" s="111"/>
    </row>
    <row r="61" spans="1:12" s="13" customFormat="1" ht="26.25" customHeight="1" x14ac:dyDescent="0.4">
      <c r="A61" s="123" t="s">
        <v>94</v>
      </c>
      <c r="B61" s="124">
        <v>20</v>
      </c>
      <c r="C61" s="315"/>
      <c r="D61" s="318"/>
      <c r="E61" s="184">
        <v>2</v>
      </c>
      <c r="F61" s="136">
        <v>53347358</v>
      </c>
      <c r="G61" s="270">
        <f>IF(ISBLANK(F61),"-",(F61/$D$50*$D$47*$B$68)*($B$57/$D$60))</f>
        <v>292.56061629361039</v>
      </c>
      <c r="H61" s="185">
        <f t="shared" ref="H61:H71" si="0">IF(ISBLANK(F61),"-",G61/$B$56)</f>
        <v>0.97520205431203466</v>
      </c>
      <c r="L61" s="111"/>
    </row>
    <row r="62" spans="1:12" s="13" customFormat="1" ht="26.25" customHeight="1" x14ac:dyDescent="0.4">
      <c r="A62" s="123" t="s">
        <v>95</v>
      </c>
      <c r="B62" s="124">
        <v>1</v>
      </c>
      <c r="C62" s="315"/>
      <c r="D62" s="318"/>
      <c r="E62" s="184">
        <v>3</v>
      </c>
      <c r="F62" s="186">
        <v>53998541</v>
      </c>
      <c r="G62" s="270">
        <f>IF(ISBLANK(F62),"-",(F62/$D$50*$D$47*$B$68)*($B$57/$D$60))</f>
        <v>296.13174909085075</v>
      </c>
      <c r="H62" s="185">
        <f t="shared" si="0"/>
        <v>0.98710583030283583</v>
      </c>
      <c r="L62" s="111"/>
    </row>
    <row r="63" spans="1:12" ht="27" customHeight="1" x14ac:dyDescent="0.4">
      <c r="A63" s="123" t="s">
        <v>96</v>
      </c>
      <c r="B63" s="124">
        <v>1</v>
      </c>
      <c r="C63" s="325"/>
      <c r="D63" s="319"/>
      <c r="E63" s="187">
        <v>4</v>
      </c>
      <c r="F63" s="188"/>
      <c r="G63" s="270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97</v>
      </c>
      <c r="B64" s="124">
        <v>1</v>
      </c>
      <c r="C64" s="314" t="s">
        <v>98</v>
      </c>
      <c r="D64" s="317">
        <v>334</v>
      </c>
      <c r="E64" s="181">
        <v>1</v>
      </c>
      <c r="F64" s="182">
        <v>53126302</v>
      </c>
      <c r="G64" s="271">
        <f>IF(ISBLANK(F64),"-",(F64/$D$50*$D$47*$B$68)*($B$57/$D$64))</f>
        <v>292.22063022580772</v>
      </c>
      <c r="H64" s="189">
        <f t="shared" si="0"/>
        <v>0.97406876741935911</v>
      </c>
    </row>
    <row r="65" spans="1:8" ht="26.25" customHeight="1" x14ac:dyDescent="0.4">
      <c r="A65" s="123" t="s">
        <v>99</v>
      </c>
      <c r="B65" s="124">
        <v>1</v>
      </c>
      <c r="C65" s="315"/>
      <c r="D65" s="318"/>
      <c r="E65" s="184">
        <v>2</v>
      </c>
      <c r="F65" s="136">
        <v>53419432</v>
      </c>
      <c r="G65" s="272">
        <f>IF(ISBLANK(F65),"-",(F65/$D$50*$D$47*$B$68)*($B$57/$D$64))</f>
        <v>293.83298851376253</v>
      </c>
      <c r="H65" s="190">
        <f t="shared" si="0"/>
        <v>0.97944329504587513</v>
      </c>
    </row>
    <row r="66" spans="1:8" ht="26.25" customHeight="1" x14ac:dyDescent="0.4">
      <c r="A66" s="123" t="s">
        <v>100</v>
      </c>
      <c r="B66" s="124">
        <v>1</v>
      </c>
      <c r="C66" s="315"/>
      <c r="D66" s="318"/>
      <c r="E66" s="184">
        <v>3</v>
      </c>
      <c r="F66" s="136">
        <v>54547189</v>
      </c>
      <c r="G66" s="272">
        <f>IF(ISBLANK(F66),"-",(F66/$D$50*$D$47*$B$68)*($B$57/$D$64))</f>
        <v>300.03620328450955</v>
      </c>
      <c r="H66" s="190">
        <f t="shared" si="0"/>
        <v>1.0001206776150318</v>
      </c>
    </row>
    <row r="67" spans="1:8" ht="27" customHeight="1" x14ac:dyDescent="0.4">
      <c r="A67" s="123" t="s">
        <v>101</v>
      </c>
      <c r="B67" s="124">
        <v>1</v>
      </c>
      <c r="C67" s="325"/>
      <c r="D67" s="319"/>
      <c r="E67" s="187">
        <v>4</v>
      </c>
      <c r="F67" s="188"/>
      <c r="G67" s="273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102</v>
      </c>
      <c r="B68" s="192">
        <f>(B67/B66)*(B65/B64)*(B63/B62)*(B61/B60)*B59</f>
        <v>400</v>
      </c>
      <c r="C68" s="314" t="s">
        <v>103</v>
      </c>
      <c r="D68" s="317">
        <v>337</v>
      </c>
      <c r="E68" s="181">
        <v>1</v>
      </c>
      <c r="F68" s="182">
        <v>54307533</v>
      </c>
      <c r="G68" s="271">
        <f>IF(ISBLANK(F68),"-",(F68/$D$50*$D$47*$B$68)*($B$57/$D$68))</f>
        <v>296.05876764788712</v>
      </c>
      <c r="H68" s="185">
        <f t="shared" si="0"/>
        <v>0.98686255882629037</v>
      </c>
    </row>
    <row r="69" spans="1:8" ht="27" customHeight="1" x14ac:dyDescent="0.4">
      <c r="A69" s="171" t="s">
        <v>104</v>
      </c>
      <c r="B69" s="193">
        <f>(D47*B68)/B56*B57</f>
        <v>329.35800000000006</v>
      </c>
      <c r="C69" s="315"/>
      <c r="D69" s="318"/>
      <c r="E69" s="184">
        <v>2</v>
      </c>
      <c r="F69" s="136">
        <v>54323176</v>
      </c>
      <c r="G69" s="272">
        <f>IF(ISBLANK(F69),"-",(F69/$D$50*$D$47*$B$68)*($B$57/$D$68))</f>
        <v>296.14404582287466</v>
      </c>
      <c r="H69" s="185">
        <f t="shared" si="0"/>
        <v>0.98714681940958215</v>
      </c>
    </row>
    <row r="70" spans="1:8" ht="26.25" customHeight="1" x14ac:dyDescent="0.4">
      <c r="A70" s="320" t="s">
        <v>77</v>
      </c>
      <c r="B70" s="321"/>
      <c r="C70" s="315"/>
      <c r="D70" s="318"/>
      <c r="E70" s="184">
        <v>3</v>
      </c>
      <c r="F70" s="136">
        <v>54880748</v>
      </c>
      <c r="G70" s="272">
        <f>IF(ISBLANK(F70),"-",(F70/$D$50*$D$47*$B$68)*($B$57/$D$68))</f>
        <v>299.18366242992937</v>
      </c>
      <c r="H70" s="185">
        <f t="shared" si="0"/>
        <v>0.99727887476643129</v>
      </c>
    </row>
    <row r="71" spans="1:8" ht="27" customHeight="1" x14ac:dyDescent="0.4">
      <c r="A71" s="322"/>
      <c r="B71" s="323"/>
      <c r="C71" s="316"/>
      <c r="D71" s="319"/>
      <c r="E71" s="187">
        <v>4</v>
      </c>
      <c r="F71" s="188"/>
      <c r="G71" s="273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70</v>
      </c>
      <c r="H72" s="198">
        <f>AVERAGE(H60:H71)</f>
        <v>0.98618422377319725</v>
      </c>
    </row>
    <row r="73" spans="1:8" ht="26.25" customHeight="1" x14ac:dyDescent="0.4">
      <c r="C73" s="195"/>
      <c r="D73" s="195"/>
      <c r="E73" s="195"/>
      <c r="F73" s="196"/>
      <c r="G73" s="199" t="s">
        <v>83</v>
      </c>
      <c r="H73" s="274">
        <f>STDEV(H60:H71)/H72</f>
        <v>9.051305588993518E-3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19</v>
      </c>
      <c r="H74" s="202">
        <f>COUNT(H60:H71)</f>
        <v>9</v>
      </c>
    </row>
    <row r="76" spans="1:8" ht="26.25" customHeight="1" x14ac:dyDescent="0.4">
      <c r="A76" s="107" t="s">
        <v>105</v>
      </c>
      <c r="B76" s="203" t="s">
        <v>106</v>
      </c>
      <c r="C76" s="300" t="str">
        <f>B20</f>
        <v xml:space="preserve">Abacavir Sulfate </v>
      </c>
      <c r="D76" s="300"/>
      <c r="E76" s="204" t="s">
        <v>107</v>
      </c>
      <c r="F76" s="204"/>
      <c r="G76" s="205">
        <f>H72</f>
        <v>0.98618422377319725</v>
      </c>
      <c r="H76" s="206"/>
    </row>
    <row r="77" spans="1:8" ht="18.75" x14ac:dyDescent="0.3">
      <c r="A77" s="106" t="s">
        <v>108</v>
      </c>
      <c r="B77" s="106" t="s">
        <v>109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24" t="str">
        <f>B26</f>
        <v xml:space="preserve">      Abacavir</v>
      </c>
      <c r="C79" s="324"/>
      <c r="D79" s="225"/>
      <c r="E79" s="225"/>
      <c r="F79" s="225"/>
      <c r="G79" s="225"/>
      <c r="H79" s="225"/>
    </row>
    <row r="80" spans="1:8" ht="26.25" customHeight="1" x14ac:dyDescent="0.4">
      <c r="A80" s="108" t="s">
        <v>47</v>
      </c>
      <c r="B80" s="324" t="str">
        <f>B27</f>
        <v xml:space="preserve">     PRS/A12-1</v>
      </c>
      <c r="C80" s="324"/>
      <c r="D80" s="225"/>
      <c r="E80" s="225"/>
      <c r="F80" s="225"/>
      <c r="G80" s="225"/>
      <c r="H80" s="225"/>
    </row>
    <row r="81" spans="1:12" ht="27" customHeight="1" x14ac:dyDescent="0.4">
      <c r="A81" s="108" t="s">
        <v>6</v>
      </c>
      <c r="B81" s="207">
        <f>B28</f>
        <v>99.4</v>
      </c>
      <c r="C81" s="225"/>
      <c r="D81" s="225"/>
      <c r="E81" s="225"/>
      <c r="F81" s="225"/>
      <c r="G81" s="225"/>
      <c r="H81" s="225"/>
    </row>
    <row r="82" spans="1:12" s="13" customFormat="1" ht="27" customHeight="1" x14ac:dyDescent="0.4">
      <c r="A82" s="108" t="s">
        <v>48</v>
      </c>
      <c r="B82" s="110">
        <v>0</v>
      </c>
      <c r="C82" s="303" t="s">
        <v>49</v>
      </c>
      <c r="D82" s="304"/>
      <c r="E82" s="304"/>
      <c r="F82" s="304"/>
      <c r="G82" s="305"/>
      <c r="H82" s="15"/>
      <c r="I82" s="111"/>
      <c r="J82" s="111"/>
      <c r="K82" s="111"/>
      <c r="L82" s="111"/>
    </row>
    <row r="83" spans="1:12" s="13" customFormat="1" ht="19.5" customHeight="1" x14ac:dyDescent="0.3">
      <c r="A83" s="108" t="s">
        <v>50</v>
      </c>
      <c r="B83" s="278">
        <f>B81-B82</f>
        <v>99.4</v>
      </c>
      <c r="C83" s="113"/>
      <c r="D83" s="113"/>
      <c r="E83" s="113"/>
      <c r="F83" s="113"/>
      <c r="G83" s="114"/>
      <c r="H83" s="15"/>
      <c r="I83" s="111"/>
      <c r="J83" s="111"/>
      <c r="K83" s="111"/>
      <c r="L83" s="111"/>
    </row>
    <row r="84" spans="1:12" s="13" customFormat="1" ht="27" customHeight="1" x14ac:dyDescent="0.4">
      <c r="A84" s="108" t="s">
        <v>51</v>
      </c>
      <c r="B84" s="115">
        <v>572.66</v>
      </c>
      <c r="C84" s="306" t="s">
        <v>110</v>
      </c>
      <c r="D84" s="307"/>
      <c r="E84" s="307"/>
      <c r="F84" s="307"/>
      <c r="G84" s="307"/>
      <c r="H84" s="308"/>
      <c r="I84" s="111"/>
      <c r="J84" s="111"/>
      <c r="K84" s="111"/>
      <c r="L84" s="111"/>
    </row>
    <row r="85" spans="1:12" s="13" customFormat="1" ht="27" customHeight="1" x14ac:dyDescent="0.4">
      <c r="A85" s="108" t="s">
        <v>53</v>
      </c>
      <c r="B85" s="115">
        <v>670.76</v>
      </c>
      <c r="C85" s="306" t="s">
        <v>111</v>
      </c>
      <c r="D85" s="307"/>
      <c r="E85" s="307"/>
      <c r="F85" s="307"/>
      <c r="G85" s="307"/>
      <c r="H85" s="308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55</v>
      </c>
      <c r="B87" s="120">
        <f>B84/B85</f>
        <v>0.85374798735762414</v>
      </c>
      <c r="C87" s="98" t="s">
        <v>56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57</v>
      </c>
      <c r="B89" s="122">
        <v>50</v>
      </c>
      <c r="D89" s="208" t="s">
        <v>58</v>
      </c>
      <c r="E89" s="209"/>
      <c r="F89" s="309" t="s">
        <v>59</v>
      </c>
      <c r="G89" s="310"/>
    </row>
    <row r="90" spans="1:12" ht="27" customHeight="1" x14ac:dyDescent="0.4">
      <c r="A90" s="123" t="s">
        <v>60</v>
      </c>
      <c r="B90" s="124">
        <v>2</v>
      </c>
      <c r="C90" s="210" t="s">
        <v>61</v>
      </c>
      <c r="D90" s="126" t="s">
        <v>62</v>
      </c>
      <c r="E90" s="127" t="s">
        <v>63</v>
      </c>
      <c r="F90" s="126" t="s">
        <v>62</v>
      </c>
      <c r="G90" s="211" t="s">
        <v>63</v>
      </c>
      <c r="I90" s="129" t="s">
        <v>64</v>
      </c>
    </row>
    <row r="91" spans="1:12" ht="26.25" customHeight="1" x14ac:dyDescent="0.4">
      <c r="A91" s="123" t="s">
        <v>65</v>
      </c>
      <c r="B91" s="124">
        <v>50</v>
      </c>
      <c r="C91" s="212">
        <v>1</v>
      </c>
      <c r="D91" s="131">
        <v>0.56100000000000005</v>
      </c>
      <c r="E91" s="132">
        <f>IF(ISBLANK(D91),"-",$D$101/$D$98*D91)</f>
        <v>0.48070752463671723</v>
      </c>
      <c r="F91" s="333">
        <v>0.47899999999999998</v>
      </c>
      <c r="G91" s="133">
        <f>IF(ISBLANK(F91),"-",$D$101/$F$98*F91)</f>
        <v>0.48342081902807493</v>
      </c>
      <c r="I91" s="134"/>
    </row>
    <row r="92" spans="1:12" ht="26.25" customHeight="1" x14ac:dyDescent="0.4">
      <c r="A92" s="123" t="s">
        <v>66</v>
      </c>
      <c r="B92" s="124">
        <v>1</v>
      </c>
      <c r="C92" s="196">
        <v>2</v>
      </c>
      <c r="D92" s="136">
        <v>0.56299999999999994</v>
      </c>
      <c r="E92" s="137">
        <f>IF(ISBLANK(D92),"-",$D$101/$D$98*D92)</f>
        <v>0.48242127695271253</v>
      </c>
      <c r="F92" s="334">
        <v>0.48</v>
      </c>
      <c r="G92" s="138">
        <f>IF(ISBLANK(F92),"-",$D$101/$F$98*F92)</f>
        <v>0.48443004829535691</v>
      </c>
      <c r="I92" s="311">
        <f>ABS((F96/D96*D95)-F95)/D95</f>
        <v>4.4592672641338713E-3</v>
      </c>
    </row>
    <row r="93" spans="1:12" ht="26.25" customHeight="1" x14ac:dyDescent="0.4">
      <c r="A93" s="123" t="s">
        <v>67</v>
      </c>
      <c r="B93" s="124">
        <v>1</v>
      </c>
      <c r="C93" s="196">
        <v>3</v>
      </c>
      <c r="D93" s="136">
        <v>0.56200000000000006</v>
      </c>
      <c r="E93" s="137">
        <f>IF(ISBLANK(D93),"-",$D$101/$D$98*D93)</f>
        <v>0.48156440079471496</v>
      </c>
      <c r="F93" s="334">
        <v>0.48</v>
      </c>
      <c r="G93" s="138">
        <f>IF(ISBLANK(F93),"-",$D$101/$F$98*F93)</f>
        <v>0.48443004829535691</v>
      </c>
      <c r="I93" s="311"/>
    </row>
    <row r="94" spans="1:12" ht="27" customHeight="1" x14ac:dyDescent="0.4">
      <c r="A94" s="123" t="s">
        <v>68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79"/>
      <c r="G94" s="143" t="str">
        <f>IF(ISBLANK(F94),"-",$D$101/$F$98*F94)</f>
        <v>-</v>
      </c>
      <c r="I94" s="144"/>
    </row>
    <row r="95" spans="1:12" ht="27" customHeight="1" x14ac:dyDescent="0.4">
      <c r="A95" s="123" t="s">
        <v>69</v>
      </c>
      <c r="B95" s="124">
        <v>1</v>
      </c>
      <c r="C95" s="214" t="s">
        <v>70</v>
      </c>
      <c r="D95" s="215">
        <f>AVERAGE(D91:D94)</f>
        <v>0.56200000000000006</v>
      </c>
      <c r="E95" s="147">
        <f>AVERAGE(E91:E94)</f>
        <v>0.48156440079471485</v>
      </c>
      <c r="F95" s="216">
        <f>AVERAGE(F91:F94)</f>
        <v>0.47966666666666669</v>
      </c>
      <c r="G95" s="217">
        <f>AVERAGE(G91:G94)</f>
        <v>0.48409363853959625</v>
      </c>
    </row>
    <row r="96" spans="1:12" ht="26.25" customHeight="1" x14ac:dyDescent="0.4">
      <c r="A96" s="123" t="s">
        <v>71</v>
      </c>
      <c r="B96" s="109">
        <v>1</v>
      </c>
      <c r="C96" s="218" t="s">
        <v>112</v>
      </c>
      <c r="D96" s="219">
        <v>22.92</v>
      </c>
      <c r="E96" s="204"/>
      <c r="F96" s="151">
        <v>19.46</v>
      </c>
    </row>
    <row r="97" spans="1:10" ht="26.25" customHeight="1" x14ac:dyDescent="0.4">
      <c r="A97" s="123" t="s">
        <v>73</v>
      </c>
      <c r="B97" s="109">
        <v>1</v>
      </c>
      <c r="C97" s="220" t="s">
        <v>113</v>
      </c>
      <c r="D97" s="221">
        <f>D96*$B$87</f>
        <v>19.567903870236748</v>
      </c>
      <c r="E97" s="154"/>
      <c r="F97" s="153">
        <f>F96*$B$87</f>
        <v>16.613935833979365</v>
      </c>
    </row>
    <row r="98" spans="1:10" ht="19.5" customHeight="1" x14ac:dyDescent="0.3">
      <c r="A98" s="123" t="s">
        <v>75</v>
      </c>
      <c r="B98" s="222">
        <f>(B97/B96)*(B95/B94)*(B93/B92)*(B91/B90)*B89</f>
        <v>1250</v>
      </c>
      <c r="C98" s="220" t="s">
        <v>114</v>
      </c>
      <c r="D98" s="223">
        <f>D97*$B$83/100</f>
        <v>19.450496447015329</v>
      </c>
      <c r="E98" s="157"/>
      <c r="F98" s="156">
        <f>F97*$B$83/100</f>
        <v>16.514252218975489</v>
      </c>
    </row>
    <row r="99" spans="1:10" ht="19.5" customHeight="1" x14ac:dyDescent="0.3">
      <c r="A99" s="296" t="s">
        <v>77</v>
      </c>
      <c r="B99" s="312"/>
      <c r="C99" s="220" t="s">
        <v>115</v>
      </c>
      <c r="D99" s="224">
        <f>D98/$B$98</f>
        <v>1.5560397157612264E-2</v>
      </c>
      <c r="E99" s="157"/>
      <c r="F99" s="160">
        <f>F98/$B$98</f>
        <v>1.3211401775180391E-2</v>
      </c>
      <c r="G99" s="225"/>
      <c r="H99" s="149"/>
    </row>
    <row r="100" spans="1:10" ht="19.5" customHeight="1" x14ac:dyDescent="0.3">
      <c r="A100" s="298"/>
      <c r="B100" s="313"/>
      <c r="C100" s="220" t="s">
        <v>79</v>
      </c>
      <c r="D100" s="226">
        <f>$B$56/$B$116</f>
        <v>1.3333333333333334E-2</v>
      </c>
      <c r="F100" s="165"/>
      <c r="G100" s="227"/>
      <c r="H100" s="149"/>
    </row>
    <row r="101" spans="1:10" ht="18.75" x14ac:dyDescent="0.3">
      <c r="C101" s="220" t="s">
        <v>80</v>
      </c>
      <c r="D101" s="221">
        <f>D100*$B$98</f>
        <v>16.666666666666668</v>
      </c>
      <c r="F101" s="165"/>
      <c r="G101" s="225"/>
      <c r="H101" s="149"/>
    </row>
    <row r="102" spans="1:10" ht="19.5" customHeight="1" x14ac:dyDescent="0.3">
      <c r="C102" s="228" t="s">
        <v>81</v>
      </c>
      <c r="D102" s="229">
        <f>D101/B34</f>
        <v>19.521763932059748</v>
      </c>
      <c r="F102" s="169"/>
      <c r="G102" s="225"/>
      <c r="H102" s="149"/>
      <c r="J102" s="230"/>
    </row>
    <row r="103" spans="1:10" ht="18.75" x14ac:dyDescent="0.3">
      <c r="C103" s="231" t="s">
        <v>116</v>
      </c>
      <c r="D103" s="232">
        <f>AVERAGE(E91:E94,G91:G94)</f>
        <v>0.48282901966715547</v>
      </c>
      <c r="F103" s="169"/>
      <c r="G103" s="233"/>
      <c r="H103" s="149"/>
      <c r="J103" s="234"/>
    </row>
    <row r="104" spans="1:10" ht="18.75" x14ac:dyDescent="0.3">
      <c r="C104" s="199" t="s">
        <v>83</v>
      </c>
      <c r="D104" s="235">
        <f>STDEV(E91:E94,G91:G94)/D103</f>
        <v>3.1740401852301359E-3</v>
      </c>
      <c r="F104" s="169"/>
      <c r="G104" s="225"/>
      <c r="H104" s="149"/>
      <c r="J104" s="234"/>
    </row>
    <row r="105" spans="1:10" ht="19.5" customHeight="1" x14ac:dyDescent="0.3">
      <c r="C105" s="201" t="s">
        <v>19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117</v>
      </c>
      <c r="B107" s="122">
        <v>900</v>
      </c>
      <c r="C107" s="237" t="s">
        <v>118</v>
      </c>
      <c r="D107" s="238" t="s">
        <v>62</v>
      </c>
      <c r="E107" s="239" t="s">
        <v>119</v>
      </c>
      <c r="F107" s="240" t="s">
        <v>120</v>
      </c>
    </row>
    <row r="108" spans="1:10" ht="26.25" customHeight="1" x14ac:dyDescent="0.4">
      <c r="A108" s="123" t="s">
        <v>121</v>
      </c>
      <c r="B108" s="124">
        <v>2</v>
      </c>
      <c r="C108" s="241">
        <v>1</v>
      </c>
      <c r="D108" s="335">
        <v>0.48399999999999999</v>
      </c>
      <c r="E108" s="275">
        <f t="shared" ref="E108:E113" si="1">IF(ISBLANK(D108),"-",D108/$D$103*$D$100*$B$116)</f>
        <v>300.72757453579641</v>
      </c>
      <c r="F108" s="242">
        <f>IF(ISBLANK(D108), "-", E108/$B$56)</f>
        <v>1.0024252484526548</v>
      </c>
    </row>
    <row r="109" spans="1:10" ht="26.25" customHeight="1" x14ac:dyDescent="0.4">
      <c r="A109" s="123" t="s">
        <v>94</v>
      </c>
      <c r="B109" s="124">
        <v>50</v>
      </c>
      <c r="C109" s="241">
        <v>2</v>
      </c>
      <c r="D109" s="335">
        <v>0.47299999999999998</v>
      </c>
      <c r="E109" s="276">
        <f t="shared" si="1"/>
        <v>293.89285693271012</v>
      </c>
      <c r="F109" s="243">
        <f t="shared" ref="F109:F113" si="2">IF(ISBLANK(D109), "-", E109/$B$56)</f>
        <v>0.97964285644236704</v>
      </c>
    </row>
    <row r="110" spans="1:10" ht="26.25" customHeight="1" x14ac:dyDescent="0.4">
      <c r="A110" s="123" t="s">
        <v>95</v>
      </c>
      <c r="B110" s="124">
        <v>1</v>
      </c>
      <c r="C110" s="241">
        <v>3</v>
      </c>
      <c r="D110" s="335">
        <v>0.49299999999999999</v>
      </c>
      <c r="E110" s="276">
        <f t="shared" si="1"/>
        <v>306.31961621104881</v>
      </c>
      <c r="F110" s="243">
        <f>IF(ISBLANK(D110), "-", E110/$B$56)</f>
        <v>1.0210653873701627</v>
      </c>
    </row>
    <row r="111" spans="1:10" ht="26.25" customHeight="1" x14ac:dyDescent="0.4">
      <c r="A111" s="123" t="s">
        <v>96</v>
      </c>
      <c r="B111" s="124">
        <v>1</v>
      </c>
      <c r="C111" s="241">
        <v>4</v>
      </c>
      <c r="D111" s="335">
        <v>0.45700000000000002</v>
      </c>
      <c r="E111" s="276">
        <f t="shared" si="1"/>
        <v>283.9514495100392</v>
      </c>
      <c r="F111" s="243">
        <f t="shared" si="2"/>
        <v>0.94650483170013067</v>
      </c>
    </row>
    <row r="112" spans="1:10" ht="26.25" customHeight="1" x14ac:dyDescent="0.4">
      <c r="A112" s="123" t="s">
        <v>97</v>
      </c>
      <c r="B112" s="124">
        <v>1</v>
      </c>
      <c r="C112" s="241">
        <v>5</v>
      </c>
      <c r="D112" s="335">
        <v>0.48399999999999999</v>
      </c>
      <c r="E112" s="276">
        <f t="shared" si="1"/>
        <v>300.72757453579641</v>
      </c>
      <c r="F112" s="243">
        <f>IF(ISBLANK(D112), "-", E112/$B$56)</f>
        <v>1.0024252484526548</v>
      </c>
    </row>
    <row r="113" spans="1:10" ht="26.25" customHeight="1" x14ac:dyDescent="0.4">
      <c r="A113" s="123" t="s">
        <v>99</v>
      </c>
      <c r="B113" s="124">
        <v>1</v>
      </c>
      <c r="C113" s="244">
        <v>6</v>
      </c>
      <c r="D113" s="336">
        <v>0.495</v>
      </c>
      <c r="E113" s="277">
        <f t="shared" si="1"/>
        <v>307.5622921388827</v>
      </c>
      <c r="F113" s="245">
        <f t="shared" si="2"/>
        <v>1.0252076404629422</v>
      </c>
    </row>
    <row r="114" spans="1:10" ht="26.25" customHeight="1" x14ac:dyDescent="0.4">
      <c r="A114" s="123" t="s">
        <v>100</v>
      </c>
      <c r="B114" s="124">
        <v>1</v>
      </c>
      <c r="C114" s="241"/>
      <c r="D114" s="196"/>
      <c r="E114" s="97"/>
      <c r="F114" s="246"/>
    </row>
    <row r="115" spans="1:10" ht="26.25" customHeight="1" x14ac:dyDescent="0.4">
      <c r="A115" s="123" t="s">
        <v>101</v>
      </c>
      <c r="B115" s="124">
        <v>1</v>
      </c>
      <c r="C115" s="241"/>
      <c r="D115" s="247"/>
      <c r="E115" s="248" t="s">
        <v>70</v>
      </c>
      <c r="F115" s="249">
        <f>AVERAGE(F108:F113)</f>
        <v>0.99621186881348534</v>
      </c>
    </row>
    <row r="116" spans="1:10" ht="27" customHeight="1" x14ac:dyDescent="0.4">
      <c r="A116" s="123" t="s">
        <v>102</v>
      </c>
      <c r="B116" s="155">
        <f>(B115/B114)*(B113/B112)*(B111/B110)*(B109/B108)*B107</f>
        <v>22500</v>
      </c>
      <c r="C116" s="250"/>
      <c r="D116" s="251"/>
      <c r="E116" s="214" t="s">
        <v>83</v>
      </c>
      <c r="F116" s="252">
        <f>STDEV(F108:F113)/F115</f>
        <v>2.9372113118418856E-2</v>
      </c>
      <c r="I116" s="97"/>
    </row>
    <row r="117" spans="1:10" ht="27" customHeight="1" x14ac:dyDescent="0.4">
      <c r="A117" s="296" t="s">
        <v>77</v>
      </c>
      <c r="B117" s="297"/>
      <c r="C117" s="253"/>
      <c r="D117" s="254"/>
      <c r="E117" s="255" t="s">
        <v>19</v>
      </c>
      <c r="F117" s="256">
        <f>COUNT(F108:F113)</f>
        <v>6</v>
      </c>
      <c r="I117" s="97"/>
      <c r="J117" s="234"/>
    </row>
    <row r="118" spans="1:10" ht="19.5" customHeight="1" x14ac:dyDescent="0.3">
      <c r="A118" s="298"/>
      <c r="B118" s="299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105</v>
      </c>
      <c r="B120" s="203" t="s">
        <v>122</v>
      </c>
      <c r="C120" s="300" t="str">
        <f>B20</f>
        <v xml:space="preserve">Abacavir Sulfate </v>
      </c>
      <c r="D120" s="300"/>
      <c r="E120" s="204" t="s">
        <v>123</v>
      </c>
      <c r="F120" s="204"/>
      <c r="G120" s="205">
        <f>F115</f>
        <v>0.99621186881348534</v>
      </c>
      <c r="H120" s="97"/>
      <c r="I120" s="97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301" t="s">
        <v>25</v>
      </c>
      <c r="C122" s="301"/>
      <c r="E122" s="283" t="s">
        <v>26</v>
      </c>
      <c r="F122" s="259"/>
      <c r="G122" s="302" t="s">
        <v>27</v>
      </c>
      <c r="H122" s="302"/>
    </row>
    <row r="123" spans="1:10" ht="54.75" customHeight="1" x14ac:dyDescent="0.3">
      <c r="A123" s="260" t="s">
        <v>28</v>
      </c>
      <c r="B123" s="261"/>
      <c r="C123" s="281" t="s">
        <v>129</v>
      </c>
      <c r="D123" s="225"/>
      <c r="E123" s="281" t="s">
        <v>127</v>
      </c>
      <c r="F123" s="97"/>
      <c r="G123" s="262"/>
      <c r="H123" s="262"/>
    </row>
    <row r="124" spans="1:10" ht="43.5" customHeight="1" x14ac:dyDescent="0.3">
      <c r="A124" s="260" t="s">
        <v>29</v>
      </c>
      <c r="B124" s="263"/>
      <c r="C124" s="263"/>
      <c r="E124" s="263"/>
      <c r="F124" s="97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Abacavir</vt:lpstr>
      <vt:lpstr>Abacavir!Print_Area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2015-10-06T07:39:29Z</cp:lastPrinted>
  <dcterms:created xsi:type="dcterms:W3CDTF">2005-07-05T10:19:27Z</dcterms:created>
  <dcterms:modified xsi:type="dcterms:W3CDTF">2015-10-06T07:39:54Z</dcterms:modified>
  <cp:category/>
</cp:coreProperties>
</file>