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3"/>
  </bookViews>
  <sheets>
    <sheet name="SST" sheetId="5" r:id="rId1"/>
    <sheet name="Uniformity" sheetId="2" r:id="rId2"/>
    <sheet name="ARTEMETHER" sheetId="4" r:id="rId3"/>
    <sheet name="LUMEFANTRINE" sheetId="3" r:id="rId4"/>
  </sheets>
  <definedNames>
    <definedName name="_xlnm.Print_Area" localSheetId="2">ARTEMETHER!$A$1:$H$142</definedName>
    <definedName name="_xlnm.Print_Area" localSheetId="0">SST!$A$1:$E$75</definedName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E92" i="4" l="1"/>
  <c r="C120" i="3" l="1"/>
  <c r="C76" i="3"/>
  <c r="C56" i="3"/>
  <c r="C138" i="4"/>
  <c r="B53" i="5"/>
  <c r="B52" i="5"/>
  <c r="B51" i="5"/>
  <c r="B50" i="5"/>
  <c r="B31" i="5"/>
  <c r="B30" i="5"/>
  <c r="B29" i="5"/>
  <c r="B28" i="5"/>
  <c r="B10" i="5"/>
  <c r="B9" i="5"/>
  <c r="B8" i="5"/>
  <c r="B7" i="5"/>
  <c r="B6" i="5"/>
  <c r="B49" i="5" s="1"/>
  <c r="B64" i="5"/>
  <c r="E62" i="5"/>
  <c r="D62" i="5"/>
  <c r="C62" i="5"/>
  <c r="B62" i="5"/>
  <c r="B63" i="5" s="1"/>
  <c r="B42" i="5"/>
  <c r="E40" i="5"/>
  <c r="D40" i="5"/>
  <c r="B40" i="5"/>
  <c r="B41" i="5" s="1"/>
  <c r="B21" i="5"/>
  <c r="E19" i="5"/>
  <c r="D19" i="5"/>
  <c r="C19" i="5"/>
  <c r="B19" i="5"/>
  <c r="B20" i="5" s="1"/>
  <c r="C121" i="4" l="1"/>
  <c r="C76" i="4"/>
  <c r="C56" i="4"/>
  <c r="C19" i="2" l="1"/>
  <c r="C18" i="2"/>
  <c r="D98" i="4" l="1"/>
  <c r="F98" i="4"/>
  <c r="F42" i="3" l="1"/>
  <c r="D42" i="3"/>
  <c r="G41" i="3"/>
  <c r="E41" i="3"/>
  <c r="F42" i="4"/>
  <c r="D42" i="4"/>
  <c r="G41" i="4"/>
  <c r="E41" i="4"/>
  <c r="F96" i="4" l="1"/>
  <c r="D96" i="4"/>
  <c r="G95" i="4"/>
  <c r="E95" i="4"/>
  <c r="B134" i="4"/>
  <c r="B117" i="4"/>
  <c r="D101" i="4" s="1"/>
  <c r="D102" i="4" s="1"/>
  <c r="B99" i="4"/>
  <c r="B88" i="4"/>
  <c r="B83" i="4"/>
  <c r="B84" i="4" s="1"/>
  <c r="B82" i="4"/>
  <c r="B81" i="4"/>
  <c r="B80" i="4"/>
  <c r="H71" i="4"/>
  <c r="G71" i="4"/>
  <c r="B68" i="4"/>
  <c r="H67" i="4"/>
  <c r="G67" i="4"/>
  <c r="H63" i="4"/>
  <c r="G63" i="4"/>
  <c r="B55" i="4"/>
  <c r="B45" i="4"/>
  <c r="D48" i="4" s="1"/>
  <c r="B34" i="4"/>
  <c r="D44" i="4" s="1"/>
  <c r="B30" i="4"/>
  <c r="B116" i="3"/>
  <c r="D100" i="3" s="1"/>
  <c r="B98" i="3"/>
  <c r="F95" i="3"/>
  <c r="D95" i="3"/>
  <c r="B87" i="3"/>
  <c r="D97" i="3" s="1"/>
  <c r="B81" i="3"/>
  <c r="B83" i="3" s="1"/>
  <c r="B80" i="3"/>
  <c r="B79" i="3"/>
  <c r="B68" i="3"/>
  <c r="B55" i="3"/>
  <c r="B45" i="3"/>
  <c r="D48" i="3" s="1"/>
  <c r="I39" i="3"/>
  <c r="B34" i="3"/>
  <c r="D44" i="3" s="1"/>
  <c r="B30" i="3"/>
  <c r="D49" i="2"/>
  <c r="C49" i="2"/>
  <c r="C46" i="2"/>
  <c r="C50" i="2" s="1"/>
  <c r="C45" i="2"/>
  <c r="D43" i="2"/>
  <c r="D41" i="2"/>
  <c r="D40" i="2"/>
  <c r="D39" i="2"/>
  <c r="D37" i="2"/>
  <c r="D36" i="2"/>
  <c r="D35" i="2"/>
  <c r="D33" i="2"/>
  <c r="D32" i="2"/>
  <c r="D31" i="2"/>
  <c r="D29" i="2"/>
  <c r="D28" i="2"/>
  <c r="D27" i="2"/>
  <c r="D25" i="2"/>
  <c r="D24" i="2"/>
  <c r="D99" i="4" l="1"/>
  <c r="F99" i="4"/>
  <c r="D45" i="4"/>
  <c r="D103" i="4"/>
  <c r="I92" i="3"/>
  <c r="D101" i="3"/>
  <c r="F44" i="3"/>
  <c r="F45" i="3" s="1"/>
  <c r="D45" i="3"/>
  <c r="E38" i="3" s="1"/>
  <c r="E39" i="3"/>
  <c r="D46" i="4"/>
  <c r="E40" i="4"/>
  <c r="E39" i="4"/>
  <c r="E38" i="4"/>
  <c r="E94" i="4"/>
  <c r="D100" i="4"/>
  <c r="D49" i="3"/>
  <c r="D98" i="3"/>
  <c r="D99" i="3" s="1"/>
  <c r="D49" i="4"/>
  <c r="D26" i="2"/>
  <c r="D30" i="2"/>
  <c r="D34" i="2"/>
  <c r="D38" i="2"/>
  <c r="D42" i="2"/>
  <c r="B49" i="2"/>
  <c r="D50" i="2"/>
  <c r="F97" i="3"/>
  <c r="F98" i="3" s="1"/>
  <c r="F99" i="3" s="1"/>
  <c r="F44" i="4"/>
  <c r="F45" i="4" s="1"/>
  <c r="B57" i="4"/>
  <c r="B69" i="4" s="1"/>
  <c r="B57" i="3"/>
  <c r="B69" i="3" s="1"/>
  <c r="E94" i="3" l="1"/>
  <c r="E93" i="3"/>
  <c r="E91" i="3"/>
  <c r="D102" i="3"/>
  <c r="G91" i="3"/>
  <c r="E92" i="3"/>
  <c r="G92" i="3"/>
  <c r="G40" i="3"/>
  <c r="G39" i="3"/>
  <c r="G38" i="3"/>
  <c r="F46" i="3"/>
  <c r="E40" i="3"/>
  <c r="E42" i="3" s="1"/>
  <c r="D46" i="3"/>
  <c r="E42" i="4"/>
  <c r="F46" i="4"/>
  <c r="G39" i="4"/>
  <c r="G38" i="4"/>
  <c r="G40" i="4"/>
  <c r="E93" i="4"/>
  <c r="F100" i="4"/>
  <c r="G93" i="4"/>
  <c r="G94" i="4"/>
  <c r="G92" i="4"/>
  <c r="G93" i="3"/>
  <c r="G94" i="3"/>
  <c r="E95" i="3" l="1"/>
  <c r="D105" i="3"/>
  <c r="G42" i="3"/>
  <c r="D52" i="3"/>
  <c r="D50" i="3"/>
  <c r="G69" i="3" s="1"/>
  <c r="H69" i="3" s="1"/>
  <c r="G95" i="3"/>
  <c r="D103" i="3"/>
  <c r="E109" i="3" s="1"/>
  <c r="F109" i="3" s="1"/>
  <c r="D52" i="4"/>
  <c r="G42" i="4"/>
  <c r="D106" i="4"/>
  <c r="D104" i="4"/>
  <c r="E128" i="4" s="1"/>
  <c r="F128" i="4" s="1"/>
  <c r="D50" i="4"/>
  <c r="G68" i="4" s="1"/>
  <c r="H68" i="4" s="1"/>
  <c r="G96" i="4"/>
  <c r="E96" i="4"/>
  <c r="G71" i="3"/>
  <c r="H71" i="3" s="1"/>
  <c r="G61" i="4" l="1"/>
  <c r="H61" i="4" s="1"/>
  <c r="G66" i="4"/>
  <c r="H66" i="4" s="1"/>
  <c r="E110" i="3"/>
  <c r="F110" i="3" s="1"/>
  <c r="E111" i="3"/>
  <c r="F111" i="3" s="1"/>
  <c r="D51" i="3"/>
  <c r="G61" i="3"/>
  <c r="H61" i="3" s="1"/>
  <c r="G70" i="3"/>
  <c r="H70" i="3" s="1"/>
  <c r="G63" i="3"/>
  <c r="H63" i="3" s="1"/>
  <c r="G65" i="3"/>
  <c r="H65" i="3" s="1"/>
  <c r="G60" i="3"/>
  <c r="H60" i="3" s="1"/>
  <c r="G62" i="3"/>
  <c r="H62" i="3" s="1"/>
  <c r="G68" i="3"/>
  <c r="H68" i="3" s="1"/>
  <c r="G67" i="3"/>
  <c r="H67" i="3" s="1"/>
  <c r="G64" i="3"/>
  <c r="H64" i="3" s="1"/>
  <c r="G66" i="3"/>
  <c r="H66" i="3" s="1"/>
  <c r="E112" i="3"/>
  <c r="F112" i="3" s="1"/>
  <c r="E113" i="3"/>
  <c r="F113" i="3" s="1"/>
  <c r="D104" i="3"/>
  <c r="E108" i="3"/>
  <c r="F108" i="3" s="1"/>
  <c r="G70" i="4"/>
  <c r="H70" i="4" s="1"/>
  <c r="G69" i="4"/>
  <c r="H69" i="4" s="1"/>
  <c r="D51" i="4"/>
  <c r="G64" i="4"/>
  <c r="H64" i="4" s="1"/>
  <c r="G60" i="4"/>
  <c r="H60" i="4" s="1"/>
  <c r="G65" i="4"/>
  <c r="H65" i="4" s="1"/>
  <c r="G62" i="4"/>
  <c r="H62" i="4" s="1"/>
  <c r="E130" i="4"/>
  <c r="F130" i="4" s="1"/>
  <c r="E109" i="4"/>
  <c r="F109" i="4" s="1"/>
  <c r="E129" i="4"/>
  <c r="F129" i="4" s="1"/>
  <c r="E112" i="4"/>
  <c r="F112" i="4" s="1"/>
  <c r="E111" i="4"/>
  <c r="F111" i="4" s="1"/>
  <c r="E131" i="4"/>
  <c r="F131" i="4" s="1"/>
  <c r="E114" i="4"/>
  <c r="F114" i="4" s="1"/>
  <c r="E113" i="4"/>
  <c r="F113" i="4" s="1"/>
  <c r="D105" i="4"/>
  <c r="E126" i="4"/>
  <c r="F126" i="4" s="1"/>
  <c r="E127" i="4"/>
  <c r="F127" i="4" s="1"/>
  <c r="E110" i="4"/>
  <c r="F110" i="4" s="1"/>
  <c r="E115" i="3" l="1"/>
  <c r="E116" i="3" s="1"/>
  <c r="G72" i="3"/>
  <c r="G73" i="3" s="1"/>
  <c r="G74" i="3"/>
  <c r="E117" i="3"/>
  <c r="H74" i="4"/>
  <c r="H72" i="4"/>
  <c r="H73" i="4" s="1"/>
  <c r="F133" i="4"/>
  <c r="G138" i="4" s="1"/>
  <c r="F118" i="4"/>
  <c r="F135" i="4"/>
  <c r="F116" i="4"/>
  <c r="F117" i="4" s="1"/>
  <c r="H74" i="3"/>
  <c r="H72" i="3"/>
  <c r="F117" i="3"/>
  <c r="F115" i="3"/>
  <c r="G76" i="4" l="1"/>
  <c r="F134" i="4"/>
  <c r="G121" i="4"/>
  <c r="G76" i="3"/>
  <c r="H73" i="3"/>
  <c r="G120" i="3"/>
  <c r="F116" i="3"/>
</calcChain>
</file>

<file path=xl/sharedStrings.xml><?xml version="1.0" encoding="utf-8"?>
<sst xmlns="http://schemas.openxmlformats.org/spreadsheetml/2006/main" count="437" uniqueCount="145">
  <si>
    <t>HPLC System Suitability Report</t>
  </si>
  <si>
    <t>Analysis Data</t>
  </si>
  <si>
    <t>Assay</t>
  </si>
  <si>
    <t>Sample(s)</t>
  </si>
  <si>
    <t>Reference Substance:</t>
  </si>
  <si>
    <t>LOKMAL-QS</t>
  </si>
  <si>
    <t>% age Purity:</t>
  </si>
  <si>
    <t>NDQD201508183</t>
  </si>
  <si>
    <t>Weight (mg):</t>
  </si>
  <si>
    <t>Artemether 80mg, Lumefantrine 480mg</t>
  </si>
  <si>
    <t>Standard Conc (mg/mL):</t>
  </si>
  <si>
    <t>Artemether 80 mg + Lumefantrine 480 mg per caplet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</si>
  <si>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</si>
  <si>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</si>
  <si>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</si>
  <si>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</si>
  <si>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</si>
  <si>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</si>
  <si>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</si>
  <si>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</si>
  <si>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</si>
  <si>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</si>
  <si>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</si>
  <si>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</si>
  <si>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</si>
  <si>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</si>
  <si>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</si>
  <si>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</si>
  <si>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</si>
  <si>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</si>
  <si>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</si>
  <si>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</si>
  <si>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</si>
  <si>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</si>
  <si>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</si>
  <si>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</si>
  <si>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</si>
  <si>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</si>
  <si>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</si>
  <si>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</si>
  <si>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</si>
  <si>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</si>
  <si>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</si>
  <si>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</si>
  <si>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</si>
  <si>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</si>
  <si>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</si>
  <si>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</si>
  <si>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</si>
  <si>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</si>
  <si>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</si>
  <si>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</si>
  <si>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</si>
  <si>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</si>
  <si>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</si>
  <si>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</si>
  <si>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</si>
  <si>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</si>
  <si>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</si>
  <si>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</si>
  <si>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</si>
  <si>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</si>
  <si>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</si>
  <si>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</si>
  <si>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</si>
  <si>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</si>
  <si>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</si>
  <si>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</si>
  <si>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</si>
  <si>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</si>
  <si>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</si>
  <si>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</si>
  <si>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</si>
  <si>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</si>
  <si>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</si>
  <si>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</si>
  <si>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</si>
  <si>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</si>
  <si>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</si>
  <si>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</si>
  <si>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</si>
  <si>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</si>
  <si>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</si>
  <si>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</si>
  <si>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</si>
  <si>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</si>
  <si>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</si>
  <si>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</si>
  <si>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</si>
  <si>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</si>
  <si>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</si>
  <si>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</si>
  <si>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</si>
  <si>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</si>
  <si>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</si>
  <si>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</si>
  <si>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</si>
  <si>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</si>
  <si>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</si>
  <si>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</si>
  <si>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</si>
  <si>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</si>
  <si>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</si>
  <si>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</si>
  <si>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</si>
  <si>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</si>
  <si>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</si>
  <si>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</si>
  <si>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</si>
  <si>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</si>
  <si>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</si>
  <si>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</si>
  <si>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</si>
  <si>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</si>
  <si>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</si>
  <si>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</si>
  <si>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</si>
  <si>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</si>
  <si>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</si>
  <si>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</si>
  <si>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</si>
  <si>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</si>
  <si>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</si>
  <si>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</si>
  <si>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Initial    Standard dilution</t>
  </si>
  <si>
    <t>Inj</t>
  </si>
  <si>
    <t>Desired Concetration (mg/mL):</t>
  </si>
  <si>
    <t>Initial    Sample dilution</t>
  </si>
  <si>
    <t>Comment</t>
  </si>
  <si>
    <t>Analysis Data:</t>
  </si>
  <si>
    <t>Determination of Active Ingredient Dissolved after</t>
  </si>
  <si>
    <t>1hr</t>
  </si>
  <si>
    <t>tablet No.</t>
  </si>
  <si>
    <t>3hrs</t>
  </si>
  <si>
    <t>ARTEMETHER</t>
  </si>
  <si>
    <t>LUMEFANTRINE</t>
  </si>
  <si>
    <t>WS/14/046</t>
  </si>
  <si>
    <t>4th Dec 2015</t>
  </si>
  <si>
    <t>29th Oct 2015</t>
  </si>
  <si>
    <t>29TH OCT 2015</t>
  </si>
  <si>
    <t>4TH Dec 2015</t>
  </si>
  <si>
    <t>F0J018</t>
  </si>
  <si>
    <t xml:space="preserve">c </t>
  </si>
  <si>
    <t>Joyfrida</t>
  </si>
  <si>
    <t>George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</si>
</sst>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9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20"/>
      <color rgb="FF000000"/>
      <name val="Book Antiqua"/>
      <family val="1"/>
    </font>
    <font>
      <b/>
      <i/>
      <sz val="1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16"/>
      <color rgb="FF000000"/>
      <name val="Book Antiqua"/>
      <family val="1"/>
    </font>
    <font>
      <sz val="10"/>
      <color rgb="FF000000"/>
      <name val="Arial"/>
      <family val="2"/>
    </font>
    <font>
      <b/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27" fillId="2" borderId="0"/>
  </cellStyleXfs>
  <cellXfs count="50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71" fontId="12" fillId="6" borderId="3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right"/>
    </xf>
    <xf numFmtId="0" fontId="11" fillId="2" borderId="24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45" xfId="0" applyFont="1" applyFill="1" applyBorder="1" applyAlignment="1">
      <alignment horizontal="right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13" xfId="0" applyFont="1" applyFill="1" applyBorder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71" fontId="12" fillId="6" borderId="38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10" fontId="12" fillId="6" borderId="41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/>
    <xf numFmtId="0" fontId="12" fillId="2" borderId="22" xfId="0" applyFont="1" applyFill="1" applyBorder="1" applyAlignment="1">
      <alignment horizontal="center" wrapText="1"/>
    </xf>
    <xf numFmtId="2" fontId="11" fillId="2" borderId="26" xfId="0" applyNumberFormat="1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0" fontId="11" fillId="2" borderId="23" xfId="0" applyFont="1" applyFill="1" applyBorder="1"/>
    <xf numFmtId="0" fontId="11" fillId="2" borderId="6" xfId="0" applyFont="1" applyFill="1" applyBorder="1"/>
    <xf numFmtId="0" fontId="11" fillId="2" borderId="0" xfId="0" applyFont="1" applyFill="1" applyAlignment="1">
      <alignment horizontal="right"/>
    </xf>
    <xf numFmtId="0" fontId="11" fillId="2" borderId="43" xfId="0" applyFont="1" applyFill="1" applyBorder="1"/>
    <xf numFmtId="0" fontId="11" fillId="2" borderId="59" xfId="0" applyFont="1" applyFill="1" applyBorder="1" applyAlignment="1">
      <alignment horizontal="center"/>
    </xf>
    <xf numFmtId="0" fontId="11" fillId="2" borderId="56" xfId="0" applyFont="1" applyFill="1" applyBorder="1" applyAlignment="1">
      <alignment horizontal="right"/>
    </xf>
    <xf numFmtId="0" fontId="11" fillId="2" borderId="48" xfId="0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2" fontId="11" fillId="2" borderId="21" xfId="0" applyNumberFormat="1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10" fontId="11" fillId="2" borderId="14" xfId="0" applyNumberFormat="1" applyFont="1" applyFill="1" applyBorder="1" applyAlignment="1">
      <alignment horizontal="center" vertical="center"/>
    </xf>
    <xf numFmtId="10" fontId="11" fillId="2" borderId="15" xfId="0" applyNumberFormat="1" applyFont="1" applyFill="1" applyBorder="1" applyAlignment="1">
      <alignment horizontal="center" vertical="center"/>
    </xf>
    <xf numFmtId="10" fontId="11" fillId="2" borderId="32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169" fontId="11" fillId="3" borderId="0" xfId="0" applyNumberFormat="1" applyFont="1" applyFill="1" applyAlignment="1" applyProtection="1">
      <alignment horizontal="left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1" xfId="0" applyNumberFormat="1" applyFont="1" applyFill="1" applyBorder="1" applyAlignment="1">
      <alignment horizontal="center"/>
    </xf>
    <xf numFmtId="171" fontId="11" fillId="2" borderId="35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1" fontId="12" fillId="6" borderId="15" xfId="0" applyNumberFormat="1" applyFont="1" applyFill="1" applyBorder="1" applyAlignment="1">
      <alignment horizontal="center"/>
    </xf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/>
    </xf>
    <xf numFmtId="2" fontId="11" fillId="2" borderId="14" xfId="0" applyNumberFormat="1" applyFont="1" applyFill="1" applyBorder="1" applyAlignment="1">
      <alignment horizontal="center"/>
    </xf>
    <xf numFmtId="2" fontId="11" fillId="2" borderId="15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3" borderId="0" xfId="0" applyFont="1" applyFill="1" applyProtection="1">
      <protection locked="0"/>
    </xf>
    <xf numFmtId="0" fontId="12" fillId="2" borderId="24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/>
    </xf>
    <xf numFmtId="10" fontId="11" fillId="2" borderId="33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2" fontId="11" fillId="7" borderId="30" xfId="0" applyNumberFormat="1" applyFont="1" applyFill="1" applyBorder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2" fontId="13" fillId="3" borderId="0" xfId="0" applyNumberFormat="1" applyFont="1" applyFill="1" applyAlignment="1" applyProtection="1">
      <alignment horizontal="center"/>
      <protection locked="0"/>
    </xf>
    <xf numFmtId="0" fontId="13" fillId="3" borderId="22" xfId="0" applyFont="1" applyFill="1" applyBorder="1" applyAlignment="1" applyProtection="1">
      <alignment horizontal="center"/>
      <protection locked="0"/>
    </xf>
    <xf numFmtId="0" fontId="13" fillId="3" borderId="24" xfId="0" applyFont="1" applyFill="1" applyBorder="1" applyAlignment="1" applyProtection="1">
      <alignment horizontal="center"/>
      <protection locked="0"/>
    </xf>
    <xf numFmtId="0" fontId="13" fillId="3" borderId="29" xfId="0" applyFont="1" applyFill="1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0" fontId="13" fillId="3" borderId="34" xfId="0" applyFont="1" applyFill="1" applyBorder="1" applyAlignment="1" applyProtection="1">
      <alignment horizontal="center"/>
      <protection locked="0"/>
    </xf>
    <xf numFmtId="0" fontId="13" fillId="3" borderId="16" xfId="0" applyFont="1" applyFill="1" applyBorder="1" applyAlignment="1" applyProtection="1">
      <alignment horizontal="center"/>
      <protection locked="0"/>
    </xf>
    <xf numFmtId="0" fontId="13" fillId="3" borderId="27" xfId="0" applyFont="1" applyFill="1" applyBorder="1" applyAlignment="1" applyProtection="1">
      <alignment horizontal="center"/>
      <protection locked="0"/>
    </xf>
    <xf numFmtId="2" fontId="14" fillId="2" borderId="44" xfId="0" applyNumberFormat="1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3" fillId="3" borderId="43" xfId="0" applyFont="1" applyFill="1" applyBorder="1" applyAlignment="1" applyProtection="1">
      <alignment horizontal="center"/>
      <protection locked="0"/>
    </xf>
    <xf numFmtId="10" fontId="13" fillId="7" borderId="33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0" fontId="13" fillId="7" borderId="46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0" fontId="23" fillId="3" borderId="0" xfId="0" applyFont="1" applyFill="1" applyAlignment="1" applyProtection="1">
      <alignment horizontal="center"/>
      <protection locked="0"/>
    </xf>
    <xf numFmtId="10" fontId="13" fillId="7" borderId="27" xfId="0" applyNumberFormat="1" applyFont="1" applyFill="1" applyBorder="1" applyAlignment="1">
      <alignment horizontal="center"/>
    </xf>
    <xf numFmtId="10" fontId="13" fillId="6" borderId="27" xfId="0" applyNumberFormat="1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165" fontId="13" fillId="2" borderId="0" xfId="0" applyNumberFormat="1" applyFont="1" applyFill="1" applyAlignment="1">
      <alignment horizontal="center"/>
    </xf>
    <xf numFmtId="0" fontId="11" fillId="2" borderId="24" xfId="0" applyFont="1" applyFill="1" applyBorder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26" fillId="3" borderId="3" xfId="0" applyFont="1" applyFill="1" applyBorder="1" applyAlignment="1" applyProtection="1">
      <alignment horizontal="center"/>
      <protection locked="0"/>
    </xf>
    <xf numFmtId="166" fontId="13" fillId="3" borderId="31" xfId="0" applyNumberFormat="1" applyFont="1" applyFill="1" applyBorder="1" applyAlignment="1" applyProtection="1">
      <alignment horizontal="center"/>
      <protection locked="0"/>
    </xf>
    <xf numFmtId="166" fontId="13" fillId="3" borderId="35" xfId="0" applyNumberFormat="1" applyFont="1" applyFill="1" applyBorder="1" applyAlignment="1" applyProtection="1">
      <alignment horizontal="center"/>
      <protection locked="0"/>
    </xf>
    <xf numFmtId="2" fontId="13" fillId="3" borderId="52" xfId="0" applyNumberFormat="1" applyFont="1" applyFill="1" applyBorder="1" applyAlignment="1" applyProtection="1">
      <alignment horizontal="center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0" fontId="1" fillId="2" borderId="0" xfId="1" applyFont="1" applyFill="1" applyAlignment="1">
      <alignment horizontal="center" vertic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28" fillId="3" borderId="3" xfId="1" applyFont="1" applyFill="1" applyBorder="1" applyAlignment="1" applyProtection="1">
      <alignment horizontal="center"/>
      <protection locked="0"/>
    </xf>
    <xf numFmtId="2" fontId="28" fillId="3" borderId="3" xfId="1" applyNumberFormat="1" applyFont="1" applyFill="1" applyBorder="1" applyAlignment="1" applyProtection="1">
      <alignment horizontal="center"/>
      <protection locked="0"/>
    </xf>
    <xf numFmtId="2" fontId="28" fillId="3" borderId="4" xfId="1" applyNumberFormat="1" applyFont="1" applyFill="1" applyBorder="1" applyAlignment="1" applyProtection="1">
      <alignment horizontal="center"/>
      <protection locked="0"/>
    </xf>
    <xf numFmtId="0" fontId="28" fillId="3" borderId="5" xfId="1" applyFont="1" applyFill="1" applyBorder="1" applyAlignment="1" applyProtection="1">
      <alignment horizontal="center"/>
      <protection locked="0"/>
    </xf>
    <xf numFmtId="2" fontId="28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166" fontId="5" fillId="2" borderId="0" xfId="1" applyNumberFormat="1" applyFont="1" applyFill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1" fontId="5" fillId="4" borderId="1" xfId="1" applyNumberFormat="1" applyFont="1" applyFill="1" applyBorder="1" applyAlignment="1">
      <alignment horizontal="center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1" fillId="2" borderId="10" xfId="1" applyFont="1" applyFill="1" applyBorder="1" applyAlignment="1"/>
    <xf numFmtId="0" fontId="1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2" fillId="2" borderId="7" xfId="1" applyFont="1" applyFill="1" applyBorder="1" applyAlignment="1">
      <alignment horizontal="center"/>
    </xf>
    <xf numFmtId="0" fontId="1" fillId="2" borderId="11" xfId="1" applyFont="1" applyFill="1" applyBorder="1"/>
    <xf numFmtId="15" fontId="1" fillId="2" borderId="11" xfId="1" applyNumberFormat="1" applyFont="1" applyFill="1" applyBorder="1" applyAlignment="1">
      <alignment horizontal="center"/>
    </xf>
    <xf numFmtId="0" fontId="2" fillId="2" borderId="11" xfId="1" applyFont="1" applyFill="1" applyBorder="1"/>
    <xf numFmtId="0" fontId="27" fillId="2" borderId="0" xfId="1" applyFill="1"/>
    <xf numFmtId="164" fontId="12" fillId="6" borderId="49" xfId="0" applyNumberFormat="1" applyFont="1" applyFill="1" applyBorder="1" applyAlignment="1">
      <alignment horizontal="center"/>
    </xf>
    <xf numFmtId="164" fontId="12" fillId="6" borderId="50" xfId="0" applyNumberFormat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2" fillId="2" borderId="40" xfId="0" applyFont="1" applyFill="1" applyBorder="1" applyAlignment="1">
      <alignment horizont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4" fillId="2" borderId="18" xfId="0" applyFont="1" applyFill="1" applyBorder="1" applyAlignment="1">
      <alignment horizontal="center"/>
    </xf>
    <xf numFmtId="0" fontId="24" fillId="2" borderId="19" xfId="0" applyFont="1" applyFill="1" applyBorder="1" applyAlignment="1">
      <alignment horizontal="center"/>
    </xf>
    <xf numFmtId="0" fontId="24" fillId="2" borderId="2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2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2">
    <cellStyle name="Normal" xfId="0" builtinId="0"/>
    <cellStyle name="Normal 2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5"/>
  <sheetViews>
    <sheetView view="pageBreakPreview" topLeftCell="A58" zoomScaleNormal="100" zoomScaleSheetLayoutView="100" workbookViewId="0">
      <selection activeCell="B40" sqref="B40"/>
    </sheetView>
  </sheetViews>
  <sheetFormatPr defaultRowHeight="13.5" x14ac:dyDescent="0.25"/>
  <cols>
    <col min="1" max="1" width="27.5703125" style="402" customWidth="1"/>
    <col min="2" max="2" width="28" style="402" customWidth="1"/>
    <col min="3" max="3" width="31.85546875" style="402" customWidth="1"/>
    <col min="4" max="4" width="25.85546875" style="402" customWidth="1"/>
    <col min="5" max="5" width="25.7109375" style="402" customWidth="1"/>
    <col min="6" max="6" width="21.5703125" style="402" customWidth="1"/>
    <col min="7" max="7" width="9.140625" style="402" customWidth="1"/>
    <col min="8" max="16384" width="9.140625" style="453"/>
  </cols>
  <sheetData>
    <row r="3" spans="1:5" ht="15" customHeight="1" x14ac:dyDescent="0.3">
      <c r="A3" s="401"/>
      <c r="C3" s="403"/>
    </row>
    <row r="4" spans="1:5" ht="18.75" customHeight="1" x14ac:dyDescent="0.3">
      <c r="A4" s="456" t="s">
        <v>0</v>
      </c>
      <c r="B4" s="456"/>
      <c r="C4" s="456"/>
      <c r="D4" s="456"/>
      <c r="E4" s="456"/>
    </row>
    <row r="5" spans="1:5" ht="16.5" customHeight="1" x14ac:dyDescent="0.3">
      <c r="A5" s="404" t="s">
        <v>1</v>
      </c>
      <c r="B5" s="405" t="s">
        <v>2</v>
      </c>
    </row>
    <row r="6" spans="1:5" ht="16.5" customHeight="1" x14ac:dyDescent="0.3">
      <c r="A6" s="406" t="s">
        <v>3</v>
      </c>
      <c r="B6" s="406" t="str">
        <f>ARTEMETHER!B18</f>
        <v>LOKMAL-QS</v>
      </c>
      <c r="D6" s="407"/>
      <c r="E6" s="408"/>
    </row>
    <row r="7" spans="1:5" ht="16.5" customHeight="1" x14ac:dyDescent="0.3">
      <c r="A7" s="409" t="s">
        <v>4</v>
      </c>
      <c r="B7" s="410" t="str">
        <f>ARTEMETHER!B26</f>
        <v>ARTEMETHER</v>
      </c>
      <c r="C7" s="408"/>
      <c r="D7" s="408"/>
      <c r="E7" s="408"/>
    </row>
    <row r="8" spans="1:5" ht="16.5" customHeight="1" x14ac:dyDescent="0.3">
      <c r="A8" s="409" t="s">
        <v>6</v>
      </c>
      <c r="B8" s="411">
        <f>ARTEMETHER!B30</f>
        <v>99.8</v>
      </c>
      <c r="C8" s="408"/>
      <c r="D8" s="408"/>
      <c r="E8" s="408"/>
    </row>
    <row r="9" spans="1:5" ht="16.5" customHeight="1" x14ac:dyDescent="0.3">
      <c r="A9" s="406" t="s">
        <v>8</v>
      </c>
      <c r="B9" s="410">
        <f>ARTEMETHER!D43</f>
        <v>23.61</v>
      </c>
      <c r="C9" s="408"/>
      <c r="D9" s="408"/>
      <c r="E9" s="408"/>
    </row>
    <row r="10" spans="1:5" ht="16.5" customHeight="1" x14ac:dyDescent="0.3">
      <c r="A10" s="406" t="s">
        <v>10</v>
      </c>
      <c r="B10" s="412">
        <f>B9/ARTEMETHER!B45</f>
        <v>0.2361</v>
      </c>
      <c r="C10" s="408"/>
      <c r="D10" s="408"/>
      <c r="E10" s="408"/>
    </row>
    <row r="11" spans="1:5" ht="15.75" customHeight="1" x14ac:dyDescent="0.25">
      <c r="A11" s="408"/>
      <c r="B11" s="408"/>
      <c r="C11" s="408"/>
      <c r="D11" s="408"/>
      <c r="E11" s="408"/>
    </row>
    <row r="12" spans="1:5" ht="16.5" customHeight="1" x14ac:dyDescent="0.3">
      <c r="A12" s="413" t="s">
        <v>12</v>
      </c>
      <c r="B12" s="414" t="s">
        <v>13</v>
      </c>
      <c r="C12" s="413" t="s">
        <v>14</v>
      </c>
      <c r="D12" s="413" t="s">
        <v>15</v>
      </c>
      <c r="E12" s="413" t="s">
        <v>16</v>
      </c>
    </row>
    <row r="13" spans="1:5" ht="16.5" customHeight="1" x14ac:dyDescent="0.25">
      <c r="A13" s="415">
        <v>1</v>
      </c>
      <c r="B13" s="416">
        <v>2436275</v>
      </c>
      <c r="C13" s="417">
        <v>10953.9</v>
      </c>
      <c r="D13" s="417">
        <v>1.02</v>
      </c>
      <c r="E13" s="418">
        <v>5.63</v>
      </c>
    </row>
    <row r="14" spans="1:5" ht="16.5" customHeight="1" x14ac:dyDescent="0.25">
      <c r="A14" s="415">
        <v>2</v>
      </c>
      <c r="B14" s="416">
        <v>2433643</v>
      </c>
      <c r="C14" s="417">
        <v>10960.82</v>
      </c>
      <c r="D14" s="417">
        <v>1.02</v>
      </c>
      <c r="E14" s="417">
        <v>5.62</v>
      </c>
    </row>
    <row r="15" spans="1:5" ht="16.5" customHeight="1" x14ac:dyDescent="0.25">
      <c r="A15" s="415">
        <v>3</v>
      </c>
      <c r="B15" s="416">
        <v>2440825</v>
      </c>
      <c r="C15" s="417">
        <v>10882.21</v>
      </c>
      <c r="D15" s="417">
        <v>1</v>
      </c>
      <c r="E15" s="417">
        <v>5.63</v>
      </c>
    </row>
    <row r="16" spans="1:5" ht="16.5" customHeight="1" x14ac:dyDescent="0.25">
      <c r="A16" s="415">
        <v>4</v>
      </c>
      <c r="B16" s="416">
        <v>2444920</v>
      </c>
      <c r="C16" s="417">
        <v>10935.42</v>
      </c>
      <c r="D16" s="417">
        <v>1.02</v>
      </c>
      <c r="E16" s="417">
        <v>5.63</v>
      </c>
    </row>
    <row r="17" spans="1:5" ht="16.5" customHeight="1" x14ac:dyDescent="0.25">
      <c r="A17" s="415">
        <v>5</v>
      </c>
      <c r="B17" s="416">
        <v>2452603</v>
      </c>
      <c r="C17" s="417">
        <v>10967.62</v>
      </c>
      <c r="D17" s="417">
        <v>1.02</v>
      </c>
      <c r="E17" s="417">
        <v>5.63</v>
      </c>
    </row>
    <row r="18" spans="1:5" ht="16.5" customHeight="1" x14ac:dyDescent="0.25">
      <c r="A18" s="415">
        <v>6</v>
      </c>
      <c r="B18" s="419">
        <v>2440045</v>
      </c>
      <c r="C18" s="420">
        <v>10957.68</v>
      </c>
      <c r="D18" s="420">
        <v>1.03</v>
      </c>
      <c r="E18" s="420">
        <v>5.63</v>
      </c>
    </row>
    <row r="19" spans="1:5" ht="16.5" customHeight="1" x14ac:dyDescent="0.3">
      <c r="A19" s="421" t="s">
        <v>17</v>
      </c>
      <c r="B19" s="422">
        <f>AVERAGE(B13:B18)</f>
        <v>2441385.1666666665</v>
      </c>
      <c r="C19" s="423">
        <f>AVERAGE(C13:C18)</f>
        <v>10942.941666666666</v>
      </c>
      <c r="D19" s="423">
        <f>AVERAGE(D13:D18)</f>
        <v>1.0183333333333333</v>
      </c>
      <c r="E19" s="423">
        <f>AVERAGE(E13:E18)</f>
        <v>5.628333333333333</v>
      </c>
    </row>
    <row r="20" spans="1:5" ht="16.5" customHeight="1" x14ac:dyDescent="0.3">
      <c r="A20" s="424" t="s">
        <v>18</v>
      </c>
      <c r="B20" s="425">
        <f>(STDEV(B13:B18)/B19)</f>
        <v>2.7568455021685359E-3</v>
      </c>
      <c r="C20" s="426"/>
      <c r="D20" s="426"/>
      <c r="E20" s="427"/>
    </row>
    <row r="21" spans="1:5" s="402" customFormat="1" ht="16.5" customHeight="1" x14ac:dyDescent="0.3">
      <c r="A21" s="428" t="s">
        <v>19</v>
      </c>
      <c r="B21" s="429">
        <f>COUNT(B13:B18)</f>
        <v>6</v>
      </c>
      <c r="C21" s="430"/>
      <c r="D21" s="431"/>
      <c r="E21" s="432"/>
    </row>
    <row r="22" spans="1:5" s="402" customFormat="1" ht="15.75" customHeight="1" x14ac:dyDescent="0.25">
      <c r="A22" s="408"/>
      <c r="B22" s="408"/>
      <c r="C22" s="408"/>
      <c r="D22" s="408"/>
      <c r="E22" s="408"/>
    </row>
    <row r="23" spans="1:5" s="402" customFormat="1" ht="16.5" customHeight="1" x14ac:dyDescent="0.3">
      <c r="A23" s="409" t="s">
        <v>20</v>
      </c>
      <c r="B23" s="433" t="s">
        <v>21</v>
      </c>
      <c r="C23" s="434"/>
      <c r="D23" s="434"/>
      <c r="E23" s="434"/>
    </row>
    <row r="24" spans="1:5" ht="16.5" customHeight="1" x14ac:dyDescent="0.3">
      <c r="A24" s="409"/>
      <c r="B24" s="433" t="s">
        <v>22</v>
      </c>
      <c r="C24" s="434"/>
      <c r="D24" s="434"/>
      <c r="E24" s="434"/>
    </row>
    <row r="25" spans="1:5" ht="16.5" customHeight="1" x14ac:dyDescent="0.3">
      <c r="A25" s="409"/>
      <c r="B25" s="433" t="s">
        <v>23</v>
      </c>
      <c r="C25" s="434"/>
      <c r="D25" s="434"/>
      <c r="E25" s="434"/>
    </row>
    <row r="26" spans="1:5" ht="15.75" customHeight="1" x14ac:dyDescent="0.25">
      <c r="A26" s="408"/>
      <c r="B26" s="408"/>
      <c r="C26" s="408"/>
      <c r="D26" s="408"/>
      <c r="E26" s="408"/>
    </row>
    <row r="27" spans="1:5" ht="16.5" customHeight="1" x14ac:dyDescent="0.3">
      <c r="A27" s="404" t="s">
        <v>1</v>
      </c>
      <c r="B27" s="405" t="s">
        <v>24</v>
      </c>
    </row>
    <row r="28" spans="1:5" ht="16.5" customHeight="1" x14ac:dyDescent="0.3">
      <c r="A28" s="409" t="s">
        <v>4</v>
      </c>
      <c r="B28" s="406" t="str">
        <f>ARTEMETHER!B80</f>
        <v>ARTEMETHER</v>
      </c>
      <c r="C28" s="408"/>
      <c r="D28" s="408"/>
      <c r="E28" s="408"/>
    </row>
    <row r="29" spans="1:5" ht="16.5" customHeight="1" x14ac:dyDescent="0.3">
      <c r="A29" s="409" t="s">
        <v>6</v>
      </c>
      <c r="B29" s="410">
        <f>ARTEMETHER!B84</f>
        <v>99.8</v>
      </c>
      <c r="C29" s="408"/>
      <c r="D29" s="408"/>
      <c r="E29" s="408"/>
    </row>
    <row r="30" spans="1:5" ht="16.5" customHeight="1" x14ac:dyDescent="0.3">
      <c r="A30" s="406" t="s">
        <v>8</v>
      </c>
      <c r="B30" s="410">
        <f>ARTEMETHER!D97</f>
        <v>22</v>
      </c>
      <c r="C30" s="408"/>
      <c r="D30" s="408"/>
      <c r="E30" s="408"/>
    </row>
    <row r="31" spans="1:5" ht="16.5" customHeight="1" x14ac:dyDescent="0.3">
      <c r="A31" s="406" t="s">
        <v>10</v>
      </c>
      <c r="B31" s="435">
        <f>B30/ARTEMETHER!B99</f>
        <v>2.1999999999999999E-2</v>
      </c>
      <c r="C31" s="408"/>
      <c r="D31" s="408"/>
      <c r="E31" s="408"/>
    </row>
    <row r="32" spans="1:5" ht="15.75" customHeight="1" x14ac:dyDescent="0.25">
      <c r="A32" s="408"/>
      <c r="B32" s="408"/>
      <c r="C32" s="408"/>
      <c r="D32" s="408"/>
      <c r="E32" s="408"/>
    </row>
    <row r="33" spans="1:5" ht="16.5" customHeight="1" x14ac:dyDescent="0.3">
      <c r="A33" s="413" t="s">
        <v>12</v>
      </c>
      <c r="B33" s="414" t="s">
        <v>13</v>
      </c>
      <c r="C33" s="413" t="s">
        <v>14</v>
      </c>
      <c r="D33" s="413" t="s">
        <v>15</v>
      </c>
      <c r="E33" s="413" t="s">
        <v>16</v>
      </c>
    </row>
    <row r="34" spans="1:5" ht="16.5" customHeight="1" x14ac:dyDescent="0.3">
      <c r="A34" s="415">
        <v>1</v>
      </c>
      <c r="B34" s="436">
        <v>987944</v>
      </c>
      <c r="C34" s="436">
        <v>15290.14</v>
      </c>
      <c r="D34" s="437">
        <v>1.07</v>
      </c>
      <c r="E34" s="438">
        <v>7.41</v>
      </c>
    </row>
    <row r="35" spans="1:5" ht="16.5" customHeight="1" x14ac:dyDescent="0.3">
      <c r="A35" s="415">
        <v>2</v>
      </c>
      <c r="B35" s="436">
        <v>983006</v>
      </c>
      <c r="C35" s="436">
        <v>15278.85</v>
      </c>
      <c r="D35" s="437">
        <v>1.06</v>
      </c>
      <c r="E35" s="437">
        <v>7.41</v>
      </c>
    </row>
    <row r="36" spans="1:5" ht="16.5" customHeight="1" x14ac:dyDescent="0.3">
      <c r="A36" s="415">
        <v>3</v>
      </c>
      <c r="B36" s="436">
        <v>985639</v>
      </c>
      <c r="C36" s="436">
        <v>15329.16</v>
      </c>
      <c r="D36" s="437">
        <v>1.08</v>
      </c>
      <c r="E36" s="437">
        <v>7.41</v>
      </c>
    </row>
    <row r="37" spans="1:5" ht="16.5" customHeight="1" x14ac:dyDescent="0.3">
      <c r="A37" s="415">
        <v>4</v>
      </c>
      <c r="B37" s="436">
        <v>979461</v>
      </c>
      <c r="C37" s="436">
        <v>15372.52</v>
      </c>
      <c r="D37" s="437">
        <v>1.07</v>
      </c>
      <c r="E37" s="437">
        <v>7.41</v>
      </c>
    </row>
    <row r="38" spans="1:5" ht="16.5" customHeight="1" x14ac:dyDescent="0.3">
      <c r="A38" s="415">
        <v>5</v>
      </c>
      <c r="B38" s="436">
        <v>980665</v>
      </c>
      <c r="C38" s="436">
        <v>15319.31</v>
      </c>
      <c r="D38" s="437">
        <v>1.07</v>
      </c>
      <c r="E38" s="437">
        <v>7.41</v>
      </c>
    </row>
    <row r="39" spans="1:5" ht="16.5" customHeight="1" x14ac:dyDescent="0.3">
      <c r="A39" s="415">
        <v>6</v>
      </c>
      <c r="B39" s="439">
        <v>980975</v>
      </c>
      <c r="C39" s="439">
        <v>15284.24</v>
      </c>
      <c r="D39" s="440">
        <v>1.07</v>
      </c>
      <c r="E39" s="440">
        <v>7.41</v>
      </c>
    </row>
    <row r="40" spans="1:5" ht="16.5" customHeight="1" x14ac:dyDescent="0.3">
      <c r="A40" s="421" t="s">
        <v>17</v>
      </c>
      <c r="B40" s="422">
        <f>AVERAGE(B34:B39)</f>
        <v>982948.33333333337</v>
      </c>
      <c r="C40" s="441">
        <v>12247.41</v>
      </c>
      <c r="D40" s="423">
        <f>AVERAGE(D34:D39)</f>
        <v>1.07</v>
      </c>
      <c r="E40" s="423">
        <f>AVERAGE(E34:E39)</f>
        <v>7.4099999999999993</v>
      </c>
    </row>
    <row r="41" spans="1:5" ht="16.5" customHeight="1" x14ac:dyDescent="0.3">
      <c r="A41" s="424" t="s">
        <v>18</v>
      </c>
      <c r="B41" s="425">
        <f>(STDEV(B34:B39)/B40)</f>
        <v>3.3268614762095631E-3</v>
      </c>
      <c r="C41" s="426"/>
      <c r="D41" s="426"/>
      <c r="E41" s="427"/>
    </row>
    <row r="42" spans="1:5" s="402" customFormat="1" ht="16.5" customHeight="1" x14ac:dyDescent="0.3">
      <c r="A42" s="428" t="s">
        <v>19</v>
      </c>
      <c r="B42" s="429">
        <f>COUNT(B34:B39)</f>
        <v>6</v>
      </c>
      <c r="C42" s="430"/>
      <c r="D42" s="431"/>
      <c r="E42" s="432"/>
    </row>
    <row r="43" spans="1:5" s="402" customFormat="1" ht="15.75" customHeight="1" x14ac:dyDescent="0.25">
      <c r="A43" s="408"/>
      <c r="B43" s="408"/>
      <c r="C43" s="408"/>
      <c r="D43" s="408"/>
      <c r="E43" s="408"/>
    </row>
    <row r="44" spans="1:5" s="402" customFormat="1" ht="16.5" customHeight="1" x14ac:dyDescent="0.3">
      <c r="A44" s="409" t="s">
        <v>20</v>
      </c>
      <c r="B44" s="433" t="s">
        <v>21</v>
      </c>
      <c r="C44" s="434"/>
      <c r="D44" s="434"/>
      <c r="E44" s="434"/>
    </row>
    <row r="45" spans="1:5" ht="16.5" customHeight="1" x14ac:dyDescent="0.3">
      <c r="A45" s="409"/>
      <c r="B45" s="433" t="s">
        <v>22</v>
      </c>
      <c r="C45" s="434"/>
      <c r="D45" s="434"/>
      <c r="E45" s="434"/>
    </row>
    <row r="46" spans="1:5" ht="16.5" customHeight="1" x14ac:dyDescent="0.3">
      <c r="A46" s="409"/>
      <c r="B46" s="433" t="s">
        <v>23</v>
      </c>
      <c r="C46" s="434"/>
      <c r="D46" s="434"/>
      <c r="E46" s="434"/>
    </row>
    <row r="47" spans="1:5" ht="16.5" customHeight="1" x14ac:dyDescent="0.3">
      <c r="A47" s="409"/>
      <c r="B47" s="433"/>
      <c r="C47" s="434"/>
      <c r="D47" s="434"/>
      <c r="E47" s="434"/>
    </row>
    <row r="48" spans="1:5" ht="16.5" customHeight="1" x14ac:dyDescent="0.3">
      <c r="A48" s="404" t="s">
        <v>1</v>
      </c>
      <c r="B48" s="405" t="s">
        <v>2</v>
      </c>
    </row>
    <row r="49" spans="1:5" ht="16.5" customHeight="1" x14ac:dyDescent="0.3">
      <c r="A49" s="406" t="s">
        <v>3</v>
      </c>
      <c r="B49" s="406" t="str">
        <f>B6</f>
        <v>LOKMAL-QS</v>
      </c>
      <c r="D49" s="407"/>
      <c r="E49" s="408"/>
    </row>
    <row r="50" spans="1:5" ht="16.5" customHeight="1" x14ac:dyDescent="0.3">
      <c r="A50" s="409" t="s">
        <v>4</v>
      </c>
      <c r="B50" s="410" t="str">
        <f>LUMEFANTRINE!B26</f>
        <v>LUMEFANTRINE</v>
      </c>
      <c r="C50" s="408"/>
      <c r="D50" s="408"/>
      <c r="E50" s="408"/>
    </row>
    <row r="51" spans="1:5" ht="16.5" customHeight="1" x14ac:dyDescent="0.3">
      <c r="A51" s="409" t="s">
        <v>6</v>
      </c>
      <c r="B51" s="411">
        <f>LUMEFANTRINE!B30</f>
        <v>100.2</v>
      </c>
      <c r="C51" s="408"/>
      <c r="D51" s="408"/>
      <c r="E51" s="408"/>
    </row>
    <row r="52" spans="1:5" ht="16.5" customHeight="1" x14ac:dyDescent="0.3">
      <c r="A52" s="406" t="s">
        <v>8</v>
      </c>
      <c r="B52" s="410">
        <f>LUMEFANTRINE!D43</f>
        <v>14.52</v>
      </c>
      <c r="C52" s="408"/>
      <c r="D52" s="408"/>
      <c r="E52" s="408"/>
    </row>
    <row r="53" spans="1:5" ht="16.5" customHeight="1" x14ac:dyDescent="0.3">
      <c r="A53" s="406" t="s">
        <v>10</v>
      </c>
      <c r="B53" s="412">
        <f>B52/LUMEFANTRINE!B45</f>
        <v>5.808E-2</v>
      </c>
      <c r="C53" s="408"/>
      <c r="D53" s="408"/>
      <c r="E53" s="408"/>
    </row>
    <row r="54" spans="1:5" ht="16.5" customHeight="1" x14ac:dyDescent="0.25">
      <c r="A54" s="408"/>
      <c r="B54" s="408"/>
      <c r="C54" s="408"/>
      <c r="D54" s="408"/>
      <c r="E54" s="408"/>
    </row>
    <row r="55" spans="1:5" ht="16.5" customHeight="1" x14ac:dyDescent="0.3">
      <c r="A55" s="413" t="s">
        <v>12</v>
      </c>
      <c r="B55" s="414" t="s">
        <v>13</v>
      </c>
      <c r="C55" s="413" t="s">
        <v>14</v>
      </c>
      <c r="D55" s="413" t="s">
        <v>15</v>
      </c>
      <c r="E55" s="413" t="s">
        <v>16</v>
      </c>
    </row>
    <row r="56" spans="1:5" ht="16.5" customHeight="1" x14ac:dyDescent="0.25">
      <c r="A56" s="415">
        <v>1</v>
      </c>
      <c r="B56" s="416">
        <v>7476000</v>
      </c>
      <c r="C56" s="417">
        <v>3926.73</v>
      </c>
      <c r="D56" s="417">
        <v>0.97</v>
      </c>
      <c r="E56" s="418">
        <v>3.8</v>
      </c>
    </row>
    <row r="57" spans="1:5" ht="16.5" customHeight="1" x14ac:dyDescent="0.25">
      <c r="A57" s="415">
        <v>2</v>
      </c>
      <c r="B57" s="416">
        <v>7495659</v>
      </c>
      <c r="C57" s="417">
        <v>3906.2</v>
      </c>
      <c r="D57" s="417">
        <v>0.97</v>
      </c>
      <c r="E57" s="417">
        <v>3.8</v>
      </c>
    </row>
    <row r="58" spans="1:5" ht="16.5" customHeight="1" x14ac:dyDescent="0.25">
      <c r="A58" s="415">
        <v>3</v>
      </c>
      <c r="B58" s="416">
        <v>7500415</v>
      </c>
      <c r="C58" s="417">
        <v>3890.42</v>
      </c>
      <c r="D58" s="417">
        <v>0.96</v>
      </c>
      <c r="E58" s="417">
        <v>3.8</v>
      </c>
    </row>
    <row r="59" spans="1:5" ht="16.5" customHeight="1" x14ac:dyDescent="0.25">
      <c r="A59" s="415">
        <v>4</v>
      </c>
      <c r="B59" s="416">
        <v>7507896</v>
      </c>
      <c r="C59" s="417">
        <v>3900.71</v>
      </c>
      <c r="D59" s="417">
        <v>0.96</v>
      </c>
      <c r="E59" s="417">
        <v>3.8</v>
      </c>
    </row>
    <row r="60" spans="1:5" ht="16.5" customHeight="1" x14ac:dyDescent="0.25">
      <c r="A60" s="415">
        <v>5</v>
      </c>
      <c r="B60" s="416">
        <v>7515115</v>
      </c>
      <c r="C60" s="417">
        <v>3894.7</v>
      </c>
      <c r="D60" s="417">
        <v>0.96</v>
      </c>
      <c r="E60" s="417">
        <v>3.8</v>
      </c>
    </row>
    <row r="61" spans="1:5" ht="16.5" customHeight="1" x14ac:dyDescent="0.25">
      <c r="A61" s="415">
        <v>6</v>
      </c>
      <c r="B61" s="419">
        <v>7507986</v>
      </c>
      <c r="C61" s="420">
        <v>3895.21</v>
      </c>
      <c r="D61" s="420">
        <v>0.98</v>
      </c>
      <c r="E61" s="420">
        <v>3.8</v>
      </c>
    </row>
    <row r="62" spans="1:5" ht="16.5" customHeight="1" x14ac:dyDescent="0.3">
      <c r="A62" s="421" t="s">
        <v>17</v>
      </c>
      <c r="B62" s="422">
        <f>AVERAGE(B56:B61)</f>
        <v>7500511.833333333</v>
      </c>
      <c r="C62" s="423">
        <f>AVERAGE(C56:C61)</f>
        <v>3902.3283333333334</v>
      </c>
      <c r="D62" s="423">
        <f>AVERAGE(D56:D61)</f>
        <v>0.96666666666666679</v>
      </c>
      <c r="E62" s="423">
        <f>AVERAGE(E56:E61)</f>
        <v>3.8000000000000003</v>
      </c>
    </row>
    <row r="63" spans="1:5" ht="16.5" customHeight="1" x14ac:dyDescent="0.3">
      <c r="A63" s="424" t="s">
        <v>18</v>
      </c>
      <c r="B63" s="425">
        <f>(STDEV(B56:B61)/B62)</f>
        <v>1.8358421819301941E-3</v>
      </c>
      <c r="C63" s="426"/>
      <c r="D63" s="426"/>
      <c r="E63" s="427"/>
    </row>
    <row r="64" spans="1:5" ht="16.5" customHeight="1" x14ac:dyDescent="0.3">
      <c r="A64" s="428" t="s">
        <v>19</v>
      </c>
      <c r="B64" s="429">
        <f>COUNT(B56:B61)</f>
        <v>6</v>
      </c>
      <c r="C64" s="430"/>
      <c r="D64" s="431"/>
      <c r="E64" s="432"/>
    </row>
    <row r="65" spans="1:5" ht="16.5" customHeight="1" x14ac:dyDescent="0.25">
      <c r="A65" s="408"/>
      <c r="B65" s="408"/>
      <c r="C65" s="408"/>
      <c r="D65" s="408"/>
      <c r="E65" s="408"/>
    </row>
    <row r="66" spans="1:5" ht="16.5" customHeight="1" x14ac:dyDescent="0.3">
      <c r="A66" s="409" t="s">
        <v>20</v>
      </c>
      <c r="B66" s="433" t="s">
        <v>21</v>
      </c>
      <c r="C66" s="434"/>
      <c r="D66" s="434"/>
      <c r="E66" s="434"/>
    </row>
    <row r="67" spans="1:5" ht="16.5" customHeight="1" x14ac:dyDescent="0.3">
      <c r="A67" s="409"/>
      <c r="B67" s="433" t="s">
        <v>22</v>
      </c>
      <c r="C67" s="434"/>
      <c r="D67" s="434"/>
      <c r="E67" s="434"/>
    </row>
    <row r="68" spans="1:5" ht="16.5" customHeight="1" x14ac:dyDescent="0.3">
      <c r="A68" s="409"/>
      <c r="B68" s="433" t="s">
        <v>23</v>
      </c>
      <c r="C68" s="434"/>
      <c r="D68" s="434"/>
      <c r="E68" s="434"/>
    </row>
    <row r="69" spans="1:5" ht="16.5" customHeight="1" x14ac:dyDescent="0.3">
      <c r="A69" s="409"/>
      <c r="B69" s="433"/>
      <c r="C69" s="434"/>
      <c r="D69" s="434"/>
      <c r="E69" s="434"/>
    </row>
    <row r="70" spans="1:5" ht="16.5" customHeight="1" x14ac:dyDescent="0.3">
      <c r="A70" s="409"/>
      <c r="B70" s="433"/>
      <c r="C70" s="434"/>
      <c r="D70" s="434"/>
      <c r="E70" s="434"/>
    </row>
    <row r="71" spans="1:5" ht="16.5" customHeight="1" x14ac:dyDescent="0.3">
      <c r="A71" s="409"/>
      <c r="B71" s="433"/>
      <c r="C71" s="434"/>
      <c r="D71" s="434"/>
      <c r="E71" s="434"/>
    </row>
    <row r="72" spans="1:5" ht="14.25" customHeight="1" thickBot="1" x14ac:dyDescent="0.3">
      <c r="A72" s="442" t="s">
        <v>142</v>
      </c>
      <c r="B72" s="443"/>
      <c r="D72" s="444"/>
    </row>
    <row r="73" spans="1:5" ht="15" customHeight="1" x14ac:dyDescent="0.3">
      <c r="B73" s="445" t="s">
        <v>25</v>
      </c>
      <c r="C73" s="446" t="s">
        <v>26</v>
      </c>
      <c r="E73" s="446" t="s">
        <v>27</v>
      </c>
    </row>
    <row r="74" spans="1:5" ht="15" customHeight="1" x14ac:dyDescent="0.3">
      <c r="A74" s="447" t="s">
        <v>28</v>
      </c>
      <c r="B74" s="448" t="s">
        <v>143</v>
      </c>
      <c r="C74" s="449"/>
      <c r="E74" s="448"/>
    </row>
    <row r="75" spans="1:5" ht="15" customHeight="1" x14ac:dyDescent="0.3">
      <c r="A75" s="447" t="s">
        <v>29</v>
      </c>
      <c r="B75" s="450" t="s">
        <v>144</v>
      </c>
      <c r="C75" s="451">
        <v>42360</v>
      </c>
      <c r="E75" s="452"/>
    </row>
  </sheetData>
  <sheetProtection formatCells="0" formatColumns="0" formatRows="0" insertColumns="0" insertRows="0" insertHyperlinks="0" deleteColumns="0" deleteRows="0" sort="0" autoFilter="0" pivotTables="0"/>
  <mergeCells count="1">
    <mergeCell ref="A4:E4"/>
  </mergeCells>
  <pageMargins left="0.7" right="0.7" top="0.75" bottom="0.75" header="0.3" footer="0.3"/>
  <pageSetup paperSize="9" scale="60" orientation="portrait" r:id="rId1"/>
  <rowBreaks count="1" manualBreakCount="1">
    <brk id="75" max="16383" man="1"/>
  </rowBreaks>
  <colBreaks count="1" manualBreakCount="1"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6" workbookViewId="0">
      <selection activeCell="C20" sqref="C20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6.710937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0" t="s">
        <v>30</v>
      </c>
      <c r="B11" s="461"/>
      <c r="C11" s="461"/>
      <c r="D11" s="461"/>
      <c r="E11" s="461"/>
      <c r="F11" s="462"/>
      <c r="G11" s="44"/>
    </row>
    <row r="12" spans="1:7" ht="16.5" customHeight="1" x14ac:dyDescent="0.3">
      <c r="A12" s="459" t="s">
        <v>31</v>
      </c>
      <c r="B12" s="459"/>
      <c r="C12" s="459"/>
      <c r="D12" s="459"/>
      <c r="E12" s="459"/>
      <c r="F12" s="459"/>
      <c r="G12" s="43"/>
    </row>
    <row r="14" spans="1:7" ht="16.5" customHeight="1" x14ac:dyDescent="0.3">
      <c r="A14" s="464" t="s">
        <v>32</v>
      </c>
      <c r="B14" s="464"/>
      <c r="C14" s="13" t="s">
        <v>5</v>
      </c>
    </row>
    <row r="15" spans="1:7" ht="16.5" customHeight="1" x14ac:dyDescent="0.3">
      <c r="A15" s="464" t="s">
        <v>33</v>
      </c>
      <c r="B15" s="464"/>
      <c r="C15" s="13" t="s">
        <v>7</v>
      </c>
    </row>
    <row r="16" spans="1:7" ht="16.5" customHeight="1" x14ac:dyDescent="0.3">
      <c r="A16" s="464" t="s">
        <v>34</v>
      </c>
      <c r="B16" s="464"/>
      <c r="C16" s="13" t="s">
        <v>9</v>
      </c>
    </row>
    <row r="17" spans="1:5" ht="16.5" customHeight="1" x14ac:dyDescent="0.3">
      <c r="A17" s="464" t="s">
        <v>35</v>
      </c>
      <c r="B17" s="464"/>
      <c r="C17" s="13" t="s">
        <v>11</v>
      </c>
    </row>
    <row r="18" spans="1:5" ht="16.5" customHeight="1" x14ac:dyDescent="0.3">
      <c r="A18" s="464" t="s">
        <v>36</v>
      </c>
      <c r="B18" s="464"/>
      <c r="C18" s="50" t="str">
        <f>ARTEMETHER!B22</f>
        <v>29TH OCT 2015</v>
      </c>
    </row>
    <row r="19" spans="1:5" ht="16.5" customHeight="1" x14ac:dyDescent="0.3">
      <c r="A19" s="464" t="s">
        <v>37</v>
      </c>
      <c r="B19" s="464"/>
      <c r="C19" s="50" t="str">
        <f>ARTEMETHER!B23</f>
        <v>4TH Dec 2015</v>
      </c>
    </row>
    <row r="20" spans="1:5" ht="16.5" customHeight="1" x14ac:dyDescent="0.3">
      <c r="A20" s="15"/>
      <c r="B20" s="15"/>
      <c r="C20" s="30"/>
    </row>
    <row r="21" spans="1:5" ht="16.5" customHeight="1" x14ac:dyDescent="0.3">
      <c r="A21" s="459" t="s">
        <v>1</v>
      </c>
      <c r="B21" s="459"/>
      <c r="C21" s="12" t="s">
        <v>38</v>
      </c>
      <c r="D21" s="19"/>
    </row>
    <row r="22" spans="1:5" ht="15.75" customHeight="1" x14ac:dyDescent="0.3">
      <c r="A22" s="463"/>
      <c r="B22" s="463"/>
      <c r="C22" s="10"/>
      <c r="D22" s="463"/>
      <c r="E22" s="463"/>
    </row>
    <row r="23" spans="1:5" ht="33.75" customHeight="1" x14ac:dyDescent="0.3">
      <c r="C23" s="39" t="s">
        <v>39</v>
      </c>
      <c r="D23" s="38" t="s">
        <v>40</v>
      </c>
      <c r="E23" s="5"/>
    </row>
    <row r="24" spans="1:5" ht="15.75" customHeight="1" x14ac:dyDescent="0.3">
      <c r="C24" s="48">
        <v>736.93</v>
      </c>
      <c r="D24" s="40">
        <f t="shared" ref="D24:D43" si="0">(C24-$C$46)/$C$46</f>
        <v>-1.6737071599548462E-2</v>
      </c>
      <c r="E24" s="6"/>
    </row>
    <row r="25" spans="1:5" ht="15.75" customHeight="1" x14ac:dyDescent="0.3">
      <c r="C25" s="48">
        <v>760.96</v>
      </c>
      <c r="D25" s="41">
        <f t="shared" si="0"/>
        <v>1.5325414890977012E-2</v>
      </c>
      <c r="E25" s="6"/>
    </row>
    <row r="26" spans="1:5" ht="15.75" customHeight="1" x14ac:dyDescent="0.3">
      <c r="C26" s="48">
        <v>725</v>
      </c>
      <c r="D26" s="41">
        <f t="shared" si="0"/>
        <v>-3.2654901971249081E-2</v>
      </c>
      <c r="E26" s="6"/>
    </row>
    <row r="27" spans="1:5" ht="15.75" customHeight="1" x14ac:dyDescent="0.3">
      <c r="C27" s="48">
        <v>766.11</v>
      </c>
      <c r="D27" s="41">
        <f t="shared" si="0"/>
        <v>2.2196900759732935E-2</v>
      </c>
      <c r="E27" s="6"/>
    </row>
    <row r="28" spans="1:5" ht="15.75" customHeight="1" x14ac:dyDescent="0.3">
      <c r="C28" s="48">
        <v>772.83</v>
      </c>
      <c r="D28" s="41">
        <f t="shared" si="0"/>
        <v>3.1163189116633946E-2</v>
      </c>
      <c r="E28" s="6"/>
    </row>
    <row r="29" spans="1:5" ht="15.75" customHeight="1" x14ac:dyDescent="0.3">
      <c r="C29" s="48">
        <v>746.59</v>
      </c>
      <c r="D29" s="41">
        <f t="shared" si="0"/>
        <v>-3.8480320865032025E-3</v>
      </c>
      <c r="E29" s="6"/>
    </row>
    <row r="30" spans="1:5" ht="15.75" customHeight="1" x14ac:dyDescent="0.3">
      <c r="C30" s="48">
        <v>720.66</v>
      </c>
      <c r="D30" s="41">
        <f t="shared" si="0"/>
        <v>-3.8445629868414335E-2</v>
      </c>
      <c r="E30" s="6"/>
    </row>
    <row r="31" spans="1:5" ht="15.75" customHeight="1" x14ac:dyDescent="0.3">
      <c r="C31" s="48">
        <v>736.79</v>
      </c>
      <c r="D31" s="41">
        <f t="shared" si="0"/>
        <v>-1.6923869273650548E-2</v>
      </c>
      <c r="E31" s="6"/>
    </row>
    <row r="32" spans="1:5" ht="15.75" customHeight="1" x14ac:dyDescent="0.3">
      <c r="C32" s="48">
        <v>782.04</v>
      </c>
      <c r="D32" s="41">
        <f t="shared" si="0"/>
        <v>4.3451807534350802E-2</v>
      </c>
      <c r="E32" s="6"/>
    </row>
    <row r="33" spans="1:7" ht="15.75" customHeight="1" x14ac:dyDescent="0.3">
      <c r="C33" s="48">
        <v>753.12</v>
      </c>
      <c r="D33" s="41">
        <f t="shared" si="0"/>
        <v>4.864745141259166E-3</v>
      </c>
      <c r="E33" s="6"/>
    </row>
    <row r="34" spans="1:7" ht="15.75" customHeight="1" x14ac:dyDescent="0.3">
      <c r="C34" s="48">
        <v>736.11</v>
      </c>
      <c r="D34" s="41">
        <f t="shared" si="0"/>
        <v>-1.7831172262146412E-2</v>
      </c>
      <c r="E34" s="6"/>
    </row>
    <row r="35" spans="1:7" ht="15.75" customHeight="1" x14ac:dyDescent="0.3">
      <c r="C35" s="48">
        <v>778.76</v>
      </c>
      <c r="D35" s="41">
        <f t="shared" si="0"/>
        <v>3.9075404883958699E-2</v>
      </c>
      <c r="E35" s="6"/>
    </row>
    <row r="36" spans="1:7" ht="15.75" customHeight="1" x14ac:dyDescent="0.3">
      <c r="C36" s="48">
        <v>722.26</v>
      </c>
      <c r="D36" s="41">
        <f t="shared" si="0"/>
        <v>-3.6310799307247406E-2</v>
      </c>
      <c r="E36" s="6"/>
    </row>
    <row r="37" spans="1:7" ht="15.75" customHeight="1" x14ac:dyDescent="0.3">
      <c r="C37" s="48">
        <v>748.53</v>
      </c>
      <c r="D37" s="41">
        <f t="shared" si="0"/>
        <v>-1.2595500310884167E-3</v>
      </c>
      <c r="E37" s="6"/>
    </row>
    <row r="38" spans="1:7" ht="15.75" customHeight="1" x14ac:dyDescent="0.3">
      <c r="C38" s="48">
        <v>745.72</v>
      </c>
      <c r="D38" s="41">
        <f t="shared" si="0"/>
        <v>-5.0088462041377093E-3</v>
      </c>
      <c r="E38" s="6"/>
    </row>
    <row r="39" spans="1:7" ht="15.75" customHeight="1" x14ac:dyDescent="0.3">
      <c r="C39" s="48">
        <v>758.16</v>
      </c>
      <c r="D39" s="41">
        <f t="shared" si="0"/>
        <v>1.1589461408934848E-2</v>
      </c>
      <c r="E39" s="6"/>
    </row>
    <row r="40" spans="1:7" ht="15.75" customHeight="1" x14ac:dyDescent="0.3">
      <c r="C40" s="48">
        <v>790.73</v>
      </c>
      <c r="D40" s="41">
        <f t="shared" si="0"/>
        <v>5.5046606019688596E-2</v>
      </c>
      <c r="E40" s="6"/>
    </row>
    <row r="41" spans="1:7" ht="15.75" customHeight="1" x14ac:dyDescent="0.3">
      <c r="C41" s="48">
        <v>748.88</v>
      </c>
      <c r="D41" s="41">
        <f t="shared" si="0"/>
        <v>-7.9255584583312741E-4</v>
      </c>
      <c r="E41" s="6"/>
    </row>
    <row r="42" spans="1:7" ht="15.75" customHeight="1" x14ac:dyDescent="0.3">
      <c r="C42" s="48">
        <v>723.63</v>
      </c>
      <c r="D42" s="41">
        <f t="shared" si="0"/>
        <v>-3.4482850639248247E-2</v>
      </c>
      <c r="E42" s="6"/>
    </row>
    <row r="43" spans="1:7" ht="16.5" customHeight="1" x14ac:dyDescent="0.3">
      <c r="C43" s="49">
        <v>735.67</v>
      </c>
      <c r="D43" s="42">
        <f t="shared" si="0"/>
        <v>-1.8418250666467382E-2</v>
      </c>
      <c r="E43" s="6"/>
    </row>
    <row r="44" spans="1:7" ht="16.5" customHeight="1" x14ac:dyDescent="0.3">
      <c r="C44" s="7"/>
      <c r="D44" s="6"/>
      <c r="E44" s="8"/>
    </row>
    <row r="45" spans="1:7" ht="16.5" customHeight="1" x14ac:dyDescent="0.3">
      <c r="B45" s="35" t="s">
        <v>41</v>
      </c>
      <c r="C45" s="36">
        <f>SUM(C24:C44)</f>
        <v>14989.479999999998</v>
      </c>
      <c r="D45" s="31"/>
      <c r="E45" s="7"/>
    </row>
    <row r="46" spans="1:7" ht="17.25" customHeight="1" x14ac:dyDescent="0.3">
      <c r="B46" s="35" t="s">
        <v>42</v>
      </c>
      <c r="C46" s="37">
        <f>AVERAGE(C24:C44)</f>
        <v>749.47399999999993</v>
      </c>
      <c r="E46" s="9"/>
    </row>
    <row r="47" spans="1:7" ht="17.25" customHeight="1" x14ac:dyDescent="0.3">
      <c r="A47" s="13"/>
      <c r="B47" s="32"/>
      <c r="D47" s="11"/>
      <c r="E47" s="9"/>
    </row>
    <row r="48" spans="1:7" ht="33.75" customHeight="1" x14ac:dyDescent="0.3">
      <c r="B48" s="45" t="s">
        <v>42</v>
      </c>
      <c r="C48" s="38" t="s">
        <v>43</v>
      </c>
      <c r="D48" s="33"/>
      <c r="G48" s="11"/>
    </row>
    <row r="49" spans="1:6" ht="17.25" customHeight="1" x14ac:dyDescent="0.3">
      <c r="B49" s="457">
        <f>C46</f>
        <v>749.47399999999993</v>
      </c>
      <c r="C49" s="46">
        <f>-IF(C46&lt;=80,10%,IF(C46&lt;250,7.5%,5%))</f>
        <v>-0.05</v>
      </c>
      <c r="D49" s="34">
        <f>IF(C46&lt;=80,C46*0.9,IF(C46&lt;250,C46*0.925,C46*0.95))</f>
        <v>712.00029999999992</v>
      </c>
    </row>
    <row r="50" spans="1:6" ht="17.25" customHeight="1" x14ac:dyDescent="0.3">
      <c r="B50" s="458"/>
      <c r="C50" s="47">
        <f>IF(C46&lt;=80, 10%, IF(C46&lt;250, 7.5%, 5%))</f>
        <v>0.05</v>
      </c>
      <c r="D50" s="34">
        <f>IF(C46&lt;=80, C46*1.1, IF(C46&lt;250, C46*1.075, C46*1.05))</f>
        <v>786.94769999999994</v>
      </c>
    </row>
    <row r="51" spans="1:6" ht="16.5" customHeight="1" x14ac:dyDescent="0.3">
      <c r="A51" s="16"/>
      <c r="B51" s="17"/>
      <c r="C51" s="13"/>
      <c r="D51" s="18"/>
      <c r="E51" s="13"/>
      <c r="F51" s="19"/>
    </row>
    <row r="52" spans="1:6" ht="16.5" customHeight="1" x14ac:dyDescent="0.3">
      <c r="A52" s="13"/>
      <c r="B52" s="20" t="s">
        <v>25</v>
      </c>
      <c r="C52" s="20"/>
      <c r="D52" s="21" t="s">
        <v>26</v>
      </c>
      <c r="E52" s="22"/>
      <c r="F52" s="21" t="s">
        <v>27</v>
      </c>
    </row>
    <row r="53" spans="1:6" ht="34.5" customHeight="1" x14ac:dyDescent="0.3">
      <c r="A53" s="23" t="s">
        <v>28</v>
      </c>
      <c r="B53" s="24"/>
      <c r="C53" s="25"/>
      <c r="D53" s="24"/>
      <c r="E53" s="14"/>
      <c r="F53" s="26"/>
    </row>
    <row r="54" spans="1:6" ht="34.5" customHeight="1" x14ac:dyDescent="0.3">
      <c r="A54" s="23" t="s">
        <v>29</v>
      </c>
      <c r="B54" s="27"/>
      <c r="C54" s="28"/>
      <c r="D54" s="27"/>
      <c r="E54" s="14"/>
      <c r="F54" s="29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view="pageBreakPreview" zoomScale="60" zoomScaleNormal="75" zoomScalePageLayoutView="55" workbookViewId="0">
      <selection activeCell="C19" sqref="C19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42578125" style="2" customWidth="1"/>
    <col min="10" max="10" width="21.28515625" style="2" customWidth="1"/>
    <col min="11" max="11" width="9.140625" style="2" customWidth="1"/>
  </cols>
  <sheetData>
    <row r="1" spans="1:8" x14ac:dyDescent="0.25">
      <c r="A1" s="493" t="s">
        <v>44</v>
      </c>
      <c r="B1" s="493"/>
      <c r="C1" s="493"/>
      <c r="D1" s="493"/>
      <c r="E1" s="493"/>
      <c r="F1" s="493"/>
      <c r="G1" s="493"/>
      <c r="H1" s="493"/>
    </row>
    <row r="2" spans="1:8" x14ac:dyDescent="0.25">
      <c r="A2" s="493"/>
      <c r="B2" s="493"/>
      <c r="C2" s="493"/>
      <c r="D2" s="493"/>
      <c r="E2" s="493"/>
      <c r="F2" s="493"/>
      <c r="G2" s="493"/>
      <c r="H2" s="493"/>
    </row>
    <row r="3" spans="1:8" x14ac:dyDescent="0.25">
      <c r="A3" s="493"/>
      <c r="B3" s="493"/>
      <c r="C3" s="493"/>
      <c r="D3" s="493"/>
      <c r="E3" s="493"/>
      <c r="F3" s="493"/>
      <c r="G3" s="493"/>
      <c r="H3" s="493"/>
    </row>
    <row r="4" spans="1:8" x14ac:dyDescent="0.25">
      <c r="A4" s="493"/>
      <c r="B4" s="493"/>
      <c r="C4" s="493"/>
      <c r="D4" s="493"/>
      <c r="E4" s="493"/>
      <c r="F4" s="493"/>
      <c r="G4" s="493"/>
      <c r="H4" s="493"/>
    </row>
    <row r="5" spans="1:8" x14ac:dyDescent="0.25">
      <c r="A5" s="493"/>
      <c r="B5" s="493"/>
      <c r="C5" s="493"/>
      <c r="D5" s="493"/>
      <c r="E5" s="493"/>
      <c r="F5" s="493"/>
      <c r="G5" s="493"/>
      <c r="H5" s="493"/>
    </row>
    <row r="6" spans="1:8" x14ac:dyDescent="0.25">
      <c r="A6" s="493"/>
      <c r="B6" s="493"/>
      <c r="C6" s="493"/>
      <c r="D6" s="493"/>
      <c r="E6" s="493"/>
      <c r="F6" s="493"/>
      <c r="G6" s="493"/>
      <c r="H6" s="493"/>
    </row>
    <row r="7" spans="1:8" x14ac:dyDescent="0.25">
      <c r="A7" s="493"/>
      <c r="B7" s="493"/>
      <c r="C7" s="493"/>
      <c r="D7" s="493"/>
      <c r="E7" s="493"/>
      <c r="F7" s="493"/>
      <c r="G7" s="493"/>
      <c r="H7" s="493"/>
    </row>
    <row r="8" spans="1:8" x14ac:dyDescent="0.25">
      <c r="A8" s="494" t="s">
        <v>45</v>
      </c>
      <c r="B8" s="494"/>
      <c r="C8" s="494"/>
      <c r="D8" s="494"/>
      <c r="E8" s="494"/>
      <c r="F8" s="494"/>
      <c r="G8" s="494"/>
      <c r="H8" s="494"/>
    </row>
    <row r="9" spans="1:8" x14ac:dyDescent="0.25">
      <c r="A9" s="494"/>
      <c r="B9" s="494"/>
      <c r="C9" s="494"/>
      <c r="D9" s="494"/>
      <c r="E9" s="494"/>
      <c r="F9" s="494"/>
      <c r="G9" s="494"/>
      <c r="H9" s="494"/>
    </row>
    <row r="10" spans="1:8" x14ac:dyDescent="0.25">
      <c r="A10" s="494"/>
      <c r="B10" s="494"/>
      <c r="C10" s="494"/>
      <c r="D10" s="494"/>
      <c r="E10" s="494"/>
      <c r="F10" s="494"/>
      <c r="G10" s="494"/>
      <c r="H10" s="494"/>
    </row>
    <row r="11" spans="1:8" x14ac:dyDescent="0.25">
      <c r="A11" s="494"/>
      <c r="B11" s="494"/>
      <c r="C11" s="494"/>
      <c r="D11" s="494"/>
      <c r="E11" s="494"/>
      <c r="F11" s="494"/>
      <c r="G11" s="494"/>
      <c r="H11" s="494"/>
    </row>
    <row r="12" spans="1:8" x14ac:dyDescent="0.25">
      <c r="A12" s="494"/>
      <c r="B12" s="494"/>
      <c r="C12" s="494"/>
      <c r="D12" s="494"/>
      <c r="E12" s="494"/>
      <c r="F12" s="494"/>
      <c r="G12" s="494"/>
      <c r="H12" s="494"/>
    </row>
    <row r="13" spans="1:8" x14ac:dyDescent="0.25">
      <c r="A13" s="494"/>
      <c r="B13" s="494"/>
      <c r="C13" s="494"/>
      <c r="D13" s="494"/>
      <c r="E13" s="494"/>
      <c r="F13" s="494"/>
      <c r="G13" s="494"/>
      <c r="H13" s="494"/>
    </row>
    <row r="14" spans="1:8" x14ac:dyDescent="0.25">
      <c r="A14" s="494"/>
      <c r="B14" s="494"/>
      <c r="C14" s="494"/>
      <c r="D14" s="494"/>
      <c r="E14" s="494"/>
      <c r="F14" s="494"/>
      <c r="G14" s="494"/>
      <c r="H14" s="494"/>
    </row>
    <row r="15" spans="1:8" ht="19.5" customHeight="1" x14ac:dyDescent="0.25"/>
    <row r="16" spans="1:8" ht="19.5" customHeight="1" x14ac:dyDescent="0.25">
      <c r="A16" s="495" t="s">
        <v>30</v>
      </c>
      <c r="B16" s="496"/>
      <c r="C16" s="496"/>
      <c r="D16" s="496"/>
      <c r="E16" s="496"/>
      <c r="F16" s="496"/>
      <c r="G16" s="496"/>
      <c r="H16" s="497"/>
    </row>
    <row r="17" spans="1:13" ht="18.75" x14ac:dyDescent="0.3">
      <c r="A17" s="223" t="s">
        <v>46</v>
      </c>
      <c r="B17" s="223"/>
    </row>
    <row r="18" spans="1:13" ht="18.75" x14ac:dyDescent="0.3">
      <c r="A18" s="225" t="s">
        <v>32</v>
      </c>
      <c r="B18" s="499" t="s">
        <v>5</v>
      </c>
      <c r="C18" s="499"/>
      <c r="D18" s="316"/>
      <c r="E18" s="316"/>
    </row>
    <row r="19" spans="1:13" ht="18.75" x14ac:dyDescent="0.3">
      <c r="A19" s="225" t="s">
        <v>33</v>
      </c>
      <c r="B19" s="317" t="s">
        <v>7</v>
      </c>
      <c r="C19" s="395">
        <v>15</v>
      </c>
    </row>
    <row r="20" spans="1:13" ht="18.75" x14ac:dyDescent="0.3">
      <c r="A20" s="225" t="s">
        <v>34</v>
      </c>
      <c r="B20" s="317" t="s">
        <v>9</v>
      </c>
    </row>
    <row r="21" spans="1:13" ht="18.75" x14ac:dyDescent="0.3">
      <c r="A21" s="225" t="s">
        <v>35</v>
      </c>
      <c r="B21" s="342" t="s">
        <v>11</v>
      </c>
      <c r="C21" s="342"/>
      <c r="D21" s="342"/>
      <c r="E21" s="342"/>
      <c r="F21" s="342"/>
      <c r="G21" s="342"/>
      <c r="H21" s="342"/>
    </row>
    <row r="22" spans="1:13" ht="18.75" x14ac:dyDescent="0.3">
      <c r="A22" s="225" t="s">
        <v>36</v>
      </c>
      <c r="B22" s="318" t="s">
        <v>139</v>
      </c>
    </row>
    <row r="23" spans="1:13" ht="18.75" x14ac:dyDescent="0.3">
      <c r="A23" s="225" t="s">
        <v>37</v>
      </c>
      <c r="B23" s="318" t="s">
        <v>140</v>
      </c>
    </row>
    <row r="24" spans="1:13" ht="18.75" x14ac:dyDescent="0.3">
      <c r="A24" s="225"/>
      <c r="B24" s="228"/>
    </row>
    <row r="25" spans="1:13" ht="18.75" x14ac:dyDescent="0.3">
      <c r="A25" s="229" t="s">
        <v>1</v>
      </c>
      <c r="B25" s="228"/>
    </row>
    <row r="26" spans="1:13" ht="26.25" customHeight="1" x14ac:dyDescent="0.4">
      <c r="A26" s="230" t="s">
        <v>4</v>
      </c>
      <c r="B26" s="498" t="s">
        <v>134</v>
      </c>
      <c r="C26" s="498"/>
    </row>
    <row r="27" spans="1:13" ht="26.25" customHeight="1" x14ac:dyDescent="0.4">
      <c r="A27" s="232" t="s">
        <v>47</v>
      </c>
      <c r="B27" s="371" t="s">
        <v>141</v>
      </c>
    </row>
    <row r="28" spans="1:13" ht="27" customHeight="1" x14ac:dyDescent="0.4">
      <c r="A28" s="232" t="s">
        <v>6</v>
      </c>
      <c r="B28" s="371">
        <v>99.8</v>
      </c>
    </row>
    <row r="29" spans="1:13" s="3" customFormat="1" ht="27" customHeight="1" x14ac:dyDescent="0.4">
      <c r="A29" s="232" t="s">
        <v>48</v>
      </c>
      <c r="B29" s="370">
        <v>0</v>
      </c>
      <c r="C29" s="467" t="s">
        <v>49</v>
      </c>
      <c r="D29" s="468"/>
      <c r="E29" s="468"/>
      <c r="F29" s="468"/>
      <c r="G29" s="469"/>
      <c r="I29" s="234"/>
      <c r="J29" s="234"/>
      <c r="K29" s="234"/>
    </row>
    <row r="30" spans="1:13" s="3" customFormat="1" ht="19.5" customHeight="1" x14ac:dyDescent="0.3">
      <c r="A30" s="232" t="s">
        <v>50</v>
      </c>
      <c r="B30" s="231">
        <f>B28-B29</f>
        <v>99.8</v>
      </c>
      <c r="C30" s="235"/>
      <c r="D30" s="235"/>
      <c r="E30" s="235"/>
      <c r="F30" s="235"/>
      <c r="G30" s="236"/>
      <c r="I30" s="234"/>
      <c r="J30" s="234"/>
      <c r="K30" s="234"/>
    </row>
    <row r="31" spans="1:13" s="3" customFormat="1" ht="27" customHeight="1" x14ac:dyDescent="0.4">
      <c r="A31" s="232" t="s">
        <v>51</v>
      </c>
      <c r="B31" s="372">
        <v>1</v>
      </c>
      <c r="C31" s="472" t="s">
        <v>52</v>
      </c>
      <c r="D31" s="473"/>
      <c r="E31" s="473"/>
      <c r="F31" s="473"/>
      <c r="G31" s="473"/>
      <c r="H31" s="474"/>
      <c r="I31" s="234"/>
      <c r="J31" s="234"/>
      <c r="K31" s="234"/>
    </row>
    <row r="32" spans="1:13" s="3" customFormat="1" ht="27" customHeight="1" x14ac:dyDescent="0.4">
      <c r="A32" s="232" t="s">
        <v>53</v>
      </c>
      <c r="B32" s="372">
        <v>1</v>
      </c>
      <c r="C32" s="472" t="s">
        <v>54</v>
      </c>
      <c r="D32" s="473"/>
      <c r="E32" s="473"/>
      <c r="F32" s="473"/>
      <c r="G32" s="473"/>
      <c r="H32" s="474"/>
      <c r="I32" s="234"/>
      <c r="J32" s="234"/>
      <c r="K32" s="238"/>
      <c r="L32" s="238"/>
      <c r="M32" s="239"/>
    </row>
    <row r="33" spans="1:13" s="3" customFormat="1" ht="17.25" customHeight="1" x14ac:dyDescent="0.3">
      <c r="A33" s="232"/>
      <c r="B33" s="237"/>
      <c r="C33" s="240"/>
      <c r="D33" s="240"/>
      <c r="E33" s="240"/>
      <c r="F33" s="240"/>
      <c r="G33" s="240"/>
      <c r="H33" s="240"/>
      <c r="I33" s="234"/>
      <c r="J33" s="234"/>
      <c r="K33" s="238"/>
      <c r="L33" s="238"/>
      <c r="M33" s="239"/>
    </row>
    <row r="34" spans="1:13" s="3" customFormat="1" ht="18.75" x14ac:dyDescent="0.3">
      <c r="A34" s="232" t="s">
        <v>55</v>
      </c>
      <c r="B34" s="241">
        <f>B31/B32</f>
        <v>1</v>
      </c>
      <c r="C34" s="224" t="s">
        <v>56</v>
      </c>
      <c r="D34" s="224"/>
      <c r="E34" s="224"/>
      <c r="F34" s="224"/>
      <c r="G34" s="224"/>
      <c r="I34" s="234"/>
      <c r="J34" s="234"/>
      <c r="K34" s="238"/>
      <c r="L34" s="238"/>
      <c r="M34" s="239"/>
    </row>
    <row r="35" spans="1:13" s="3" customFormat="1" ht="19.5" customHeight="1" x14ac:dyDescent="0.3">
      <c r="A35" s="232"/>
      <c r="B35" s="231"/>
      <c r="G35" s="224"/>
      <c r="I35" s="234"/>
      <c r="J35" s="234"/>
      <c r="K35" s="238"/>
      <c r="L35" s="238"/>
      <c r="M35" s="239"/>
    </row>
    <row r="36" spans="1:13" s="3" customFormat="1" ht="27" customHeight="1" x14ac:dyDescent="0.4">
      <c r="A36" s="242" t="s">
        <v>124</v>
      </c>
      <c r="B36" s="373">
        <v>100</v>
      </c>
      <c r="C36" s="224"/>
      <c r="D36" s="470" t="s">
        <v>58</v>
      </c>
      <c r="E36" s="482"/>
      <c r="F36" s="470" t="s">
        <v>59</v>
      </c>
      <c r="G36" s="471"/>
      <c r="I36" s="234"/>
      <c r="J36" s="234"/>
      <c r="K36" s="238"/>
      <c r="L36" s="238"/>
      <c r="M36" s="239"/>
    </row>
    <row r="37" spans="1:13" s="3" customFormat="1" ht="26.25" customHeight="1" x14ac:dyDescent="0.4">
      <c r="A37" s="243" t="s">
        <v>60</v>
      </c>
      <c r="B37" s="374">
        <v>1</v>
      </c>
      <c r="C37" s="245" t="s">
        <v>125</v>
      </c>
      <c r="D37" s="246" t="s">
        <v>62</v>
      </c>
      <c r="E37" s="303" t="s">
        <v>63</v>
      </c>
      <c r="F37" s="246" t="s">
        <v>62</v>
      </c>
      <c r="G37" s="247" t="s">
        <v>63</v>
      </c>
      <c r="I37" s="234"/>
      <c r="J37" s="234"/>
      <c r="K37" s="238"/>
      <c r="L37" s="238"/>
      <c r="M37" s="239"/>
    </row>
    <row r="38" spans="1:13" s="3" customFormat="1" ht="26.25" customHeight="1" x14ac:dyDescent="0.4">
      <c r="A38" s="243" t="s">
        <v>65</v>
      </c>
      <c r="B38" s="374">
        <v>1</v>
      </c>
      <c r="C38" s="248">
        <v>1</v>
      </c>
      <c r="D38" s="397">
        <v>2006550</v>
      </c>
      <c r="E38" s="319">
        <f>IF(ISBLANK(D38),"-",$D$48/$D$45*D38)</f>
        <v>1703152.1747433878</v>
      </c>
      <c r="F38" s="375">
        <v>1764711</v>
      </c>
      <c r="G38" s="322">
        <f>IF(ISBLANK(F38),"-",$D$48/$F$45*F38)</f>
        <v>1719248.9013028489</v>
      </c>
      <c r="I38" s="234"/>
      <c r="J38" s="234"/>
      <c r="K38" s="238"/>
      <c r="L38" s="238"/>
      <c r="M38" s="239"/>
    </row>
    <row r="39" spans="1:13" s="3" customFormat="1" ht="26.25" customHeight="1" x14ac:dyDescent="0.4">
      <c r="A39" s="243" t="s">
        <v>66</v>
      </c>
      <c r="B39" s="374">
        <v>1</v>
      </c>
      <c r="C39" s="244">
        <v>2</v>
      </c>
      <c r="D39" s="397">
        <v>2015054</v>
      </c>
      <c r="E39" s="320">
        <f>IF(ISBLANK(D39),"-",$D$48/$D$45*D39)</f>
        <v>1710370.3383047334</v>
      </c>
      <c r="F39" s="375">
        <v>1758756</v>
      </c>
      <c r="G39" s="323">
        <f>IF(ISBLANK(F39),"-",$D$48/$F$45*F39)</f>
        <v>1713447.3127100093</v>
      </c>
      <c r="I39" s="234"/>
      <c r="J39" s="234"/>
      <c r="K39" s="238"/>
      <c r="L39" s="238"/>
      <c r="M39" s="239"/>
    </row>
    <row r="40" spans="1:13" ht="26.25" customHeight="1" x14ac:dyDescent="0.4">
      <c r="A40" s="243" t="s">
        <v>67</v>
      </c>
      <c r="B40" s="374">
        <v>1</v>
      </c>
      <c r="C40" s="244">
        <v>3</v>
      </c>
      <c r="D40" s="397">
        <v>2014101</v>
      </c>
      <c r="E40" s="320">
        <f>IF(ISBLANK(D40),"-",$D$48/$D$45*D40)</f>
        <v>1709561.4354503164</v>
      </c>
      <c r="F40" s="375">
        <v>1763067</v>
      </c>
      <c r="G40" s="323">
        <f>IF(ISBLANK(F40),"-",$D$48/$F$45*F40)</f>
        <v>1717647.2536711732</v>
      </c>
      <c r="K40" s="238"/>
      <c r="L40" s="238"/>
      <c r="M40" s="250"/>
    </row>
    <row r="41" spans="1:13" ht="26.25" customHeight="1" x14ac:dyDescent="0.4">
      <c r="A41" s="243" t="s">
        <v>68</v>
      </c>
      <c r="B41" s="374">
        <v>1</v>
      </c>
      <c r="C41" s="251">
        <v>4</v>
      </c>
      <c r="D41" s="377"/>
      <c r="E41" s="321" t="str">
        <f>IF(ISBLANK(D41),"-",$D$48/$D$45*D41)</f>
        <v>-</v>
      </c>
      <c r="F41" s="377"/>
      <c r="G41" s="324" t="str">
        <f>IF(ISBLANK(F41),"-",$D$48/$F$45*F41)</f>
        <v>-</v>
      </c>
      <c r="K41" s="238"/>
      <c r="L41" s="238"/>
      <c r="M41" s="250"/>
    </row>
    <row r="42" spans="1:13" ht="27" customHeight="1" thickBot="1" x14ac:dyDescent="0.45">
      <c r="A42" s="243" t="s">
        <v>69</v>
      </c>
      <c r="B42" s="374">
        <v>1</v>
      </c>
      <c r="C42" s="253" t="s">
        <v>70</v>
      </c>
      <c r="D42" s="254">
        <f>AVERAGE(D38:D41)</f>
        <v>2011901.6666666667</v>
      </c>
      <c r="E42" s="278">
        <f>AVERAGE(E38:E41)</f>
        <v>1707694.649499479</v>
      </c>
      <c r="F42" s="254">
        <f>AVERAGE(F38:F41)</f>
        <v>1762178</v>
      </c>
      <c r="G42" s="255">
        <f>AVERAGE(G38:G41)</f>
        <v>1716781.1558946772</v>
      </c>
      <c r="H42" s="339"/>
    </row>
    <row r="43" spans="1:13" ht="26.25" customHeight="1" x14ac:dyDescent="0.4">
      <c r="A43" s="243" t="s">
        <v>71</v>
      </c>
      <c r="B43" s="371">
        <v>1</v>
      </c>
      <c r="C43" s="353" t="s">
        <v>112</v>
      </c>
      <c r="D43" s="378">
        <v>23.61</v>
      </c>
      <c r="E43" s="368"/>
      <c r="F43" s="378">
        <v>20.57</v>
      </c>
      <c r="G43" s="338"/>
      <c r="H43" s="339"/>
    </row>
    <row r="44" spans="1:13" ht="26.25" customHeight="1" x14ac:dyDescent="0.4">
      <c r="A44" s="243" t="s">
        <v>73</v>
      </c>
      <c r="B44" s="371">
        <v>1</v>
      </c>
      <c r="C44" s="354" t="s">
        <v>113</v>
      </c>
      <c r="D44" s="355">
        <f>D43*$B$34</f>
        <v>23.61</v>
      </c>
      <c r="E44" s="257"/>
      <c r="F44" s="256">
        <f>F43*$B$34</f>
        <v>20.57</v>
      </c>
      <c r="H44" s="339"/>
    </row>
    <row r="45" spans="1:13" ht="19.5" customHeight="1" x14ac:dyDescent="0.3">
      <c r="A45" s="243" t="s">
        <v>75</v>
      </c>
      <c r="B45" s="352">
        <f>(B44/B43)*(B42/B41)*(B40/B39)*(B38/B37)*B36</f>
        <v>100</v>
      </c>
      <c r="C45" s="354" t="s">
        <v>76</v>
      </c>
      <c r="D45" s="356">
        <f>D44*$B$30/100</f>
        <v>23.562779999999997</v>
      </c>
      <c r="E45" s="259"/>
      <c r="F45" s="258">
        <f>F44*$B$30/100</f>
        <v>20.528859999999998</v>
      </c>
      <c r="H45" s="339"/>
    </row>
    <row r="46" spans="1:13" ht="19.5" customHeight="1" x14ac:dyDescent="0.3">
      <c r="A46" s="483" t="s">
        <v>77</v>
      </c>
      <c r="B46" s="487"/>
      <c r="C46" s="354" t="s">
        <v>78</v>
      </c>
      <c r="D46" s="355">
        <f>D45/$B$45</f>
        <v>0.23562779999999997</v>
      </c>
      <c r="E46" s="259"/>
      <c r="F46" s="260">
        <f>F45/$B$45</f>
        <v>0.20528859999999999</v>
      </c>
      <c r="H46" s="339"/>
    </row>
    <row r="47" spans="1:13" ht="27" customHeight="1" x14ac:dyDescent="0.4">
      <c r="A47" s="485"/>
      <c r="B47" s="488"/>
      <c r="C47" s="354" t="s">
        <v>126</v>
      </c>
      <c r="D47" s="379">
        <v>0.2</v>
      </c>
      <c r="F47" s="262"/>
      <c r="H47" s="339"/>
    </row>
    <row r="48" spans="1:13" ht="18.75" x14ac:dyDescent="0.3">
      <c r="C48" s="354" t="s">
        <v>80</v>
      </c>
      <c r="D48" s="355">
        <f>D47*$B$45</f>
        <v>20</v>
      </c>
      <c r="F48" s="262"/>
      <c r="H48" s="339"/>
    </row>
    <row r="49" spans="1:11" ht="19.5" customHeight="1" x14ac:dyDescent="0.3">
      <c r="C49" s="357" t="s">
        <v>81</v>
      </c>
      <c r="D49" s="358">
        <f>D48/B34</f>
        <v>20</v>
      </c>
      <c r="F49" s="265"/>
      <c r="H49" s="339"/>
    </row>
    <row r="50" spans="1:11" ht="18.75" x14ac:dyDescent="0.3">
      <c r="C50" s="359" t="s">
        <v>82</v>
      </c>
      <c r="D50" s="360">
        <f>AVERAGE(E38:E41,G38:G41)</f>
        <v>1712237.902697078</v>
      </c>
      <c r="F50" s="265"/>
      <c r="H50" s="339"/>
    </row>
    <row r="51" spans="1:11" ht="18.75" x14ac:dyDescent="0.3">
      <c r="C51" s="261" t="s">
        <v>83</v>
      </c>
      <c r="D51" s="266">
        <f>STDEV(E38:E41,G38:G41)/D50</f>
        <v>3.4361633811425514E-3</v>
      </c>
      <c r="F51" s="265"/>
    </row>
    <row r="52" spans="1:11" ht="19.5" customHeight="1" x14ac:dyDescent="0.3">
      <c r="C52" s="263" t="s">
        <v>19</v>
      </c>
      <c r="D52" s="267">
        <f>COUNT(E38:E41,G38:G41)</f>
        <v>6</v>
      </c>
      <c r="F52" s="265"/>
    </row>
    <row r="54" spans="1:11" ht="18.75" x14ac:dyDescent="0.3">
      <c r="A54" s="223" t="s">
        <v>1</v>
      </c>
      <c r="B54" s="268" t="s">
        <v>84</v>
      </c>
    </row>
    <row r="55" spans="1:11" ht="18.75" x14ac:dyDescent="0.3">
      <c r="A55" s="224" t="s">
        <v>85</v>
      </c>
      <c r="B55" s="227" t="str">
        <f>B21</f>
        <v>Artemether 80 mg + Lumefantrine 480 mg per caplet</v>
      </c>
    </row>
    <row r="56" spans="1:11" ht="26.25" customHeight="1" x14ac:dyDescent="0.4">
      <c r="A56" s="226" t="s">
        <v>86</v>
      </c>
      <c r="B56" s="370">
        <v>80</v>
      </c>
      <c r="C56" s="224" t="str">
        <f>B26</f>
        <v>ARTEMETHER</v>
      </c>
      <c r="H56" s="233"/>
    </row>
    <row r="57" spans="1:11" ht="18.75" x14ac:dyDescent="0.3">
      <c r="A57" s="227" t="s">
        <v>87</v>
      </c>
      <c r="B57" s="396">
        <f>Uniformity!C46</f>
        <v>749.47399999999993</v>
      </c>
      <c r="H57" s="233"/>
    </row>
    <row r="58" spans="1:11" ht="19.5" customHeight="1" x14ac:dyDescent="0.3">
      <c r="H58" s="233"/>
    </row>
    <row r="59" spans="1:11" s="3" customFormat="1" ht="27" customHeight="1" thickBot="1" x14ac:dyDescent="0.45">
      <c r="A59" s="242" t="s">
        <v>127</v>
      </c>
      <c r="B59" s="373">
        <v>100</v>
      </c>
      <c r="C59" s="224"/>
      <c r="D59" s="270" t="s">
        <v>89</v>
      </c>
      <c r="E59" s="269" t="s">
        <v>61</v>
      </c>
      <c r="F59" s="269" t="s">
        <v>62</v>
      </c>
      <c r="G59" s="269" t="s">
        <v>90</v>
      </c>
      <c r="H59" s="245" t="s">
        <v>91</v>
      </c>
      <c r="K59" s="234"/>
    </row>
    <row r="60" spans="1:11" s="3" customFormat="1" ht="22.5" customHeight="1" x14ac:dyDescent="0.4">
      <c r="A60" s="243" t="s">
        <v>121</v>
      </c>
      <c r="B60" s="374">
        <v>1</v>
      </c>
      <c r="C60" s="475" t="s">
        <v>93</v>
      </c>
      <c r="D60" s="479">
        <v>185.05</v>
      </c>
      <c r="E60" s="271">
        <v>1</v>
      </c>
      <c r="F60" s="381">
        <v>1713140</v>
      </c>
      <c r="G60" s="307">
        <f>IF(ISBLANK(F60),"-",(F60/$D$50*$D$47*$B$68)*($B$57/$D$60))</f>
        <v>81.044999995906977</v>
      </c>
      <c r="H60" s="309">
        <f t="shared" ref="H60:H71" si="0">IF(ISBLANK(F60),"-",G60/$B$56)</f>
        <v>1.0130624999488371</v>
      </c>
      <c r="K60" s="234"/>
    </row>
    <row r="61" spans="1:11" s="3" customFormat="1" ht="26.25" customHeight="1" x14ac:dyDescent="0.4">
      <c r="A61" s="243" t="s">
        <v>94</v>
      </c>
      <c r="B61" s="374">
        <v>1</v>
      </c>
      <c r="C61" s="476"/>
      <c r="D61" s="480"/>
      <c r="E61" s="272">
        <v>2</v>
      </c>
      <c r="F61" s="376">
        <v>1693522</v>
      </c>
      <c r="G61" s="308">
        <f>IF(ISBLANK(F61),"-",(F61/$D$50*$D$47*$B$68)*($B$57/$D$60))</f>
        <v>80.116914252815533</v>
      </c>
      <c r="H61" s="310">
        <f t="shared" si="0"/>
        <v>1.0014614281601941</v>
      </c>
      <c r="K61" s="234"/>
    </row>
    <row r="62" spans="1:11" s="3" customFormat="1" ht="26.25" customHeight="1" x14ac:dyDescent="0.4">
      <c r="A62" s="243" t="s">
        <v>95</v>
      </c>
      <c r="B62" s="374">
        <v>1</v>
      </c>
      <c r="C62" s="476"/>
      <c r="D62" s="480"/>
      <c r="E62" s="272">
        <v>3</v>
      </c>
      <c r="F62" s="135">
        <v>1689077</v>
      </c>
      <c r="G62" s="308">
        <f>IF(ISBLANK(F62),"-",(F62/$D$50*$D$47*$B$68)*($B$57/$D$60))</f>
        <v>79.906630782123216</v>
      </c>
      <c r="H62" s="310">
        <f t="shared" si="0"/>
        <v>0.9988328847765402</v>
      </c>
      <c r="K62" s="234"/>
    </row>
    <row r="63" spans="1:11" ht="21" customHeight="1" thickBot="1" x14ac:dyDescent="0.45">
      <c r="A63" s="243" t="s">
        <v>96</v>
      </c>
      <c r="B63" s="374">
        <v>1</v>
      </c>
      <c r="C63" s="477"/>
      <c r="D63" s="481"/>
      <c r="E63" s="273">
        <v>4</v>
      </c>
      <c r="F63" s="382"/>
      <c r="G63" s="308" t="str">
        <f>IF(ISBLANK(F63),"-",(F63/$D$50*$D$47*$B$68)*($B$57/$D$60))</f>
        <v>-</v>
      </c>
      <c r="H63" s="310" t="str">
        <f t="shared" si="0"/>
        <v>-</v>
      </c>
    </row>
    <row r="64" spans="1:11" ht="26.25" customHeight="1" x14ac:dyDescent="0.4">
      <c r="A64" s="243" t="s">
        <v>97</v>
      </c>
      <c r="B64" s="374">
        <v>1</v>
      </c>
      <c r="C64" s="475" t="s">
        <v>98</v>
      </c>
      <c r="D64" s="479">
        <v>184.16</v>
      </c>
      <c r="E64" s="271">
        <v>1</v>
      </c>
      <c r="F64" s="381">
        <v>1694963</v>
      </c>
      <c r="G64" s="335">
        <f>IF(ISBLANK(F64),"-",(F64/$D$50*$D$47*$B$68)*($B$57/$D$64))</f>
        <v>80.57259968968367</v>
      </c>
      <c r="H64" s="332">
        <f t="shared" si="0"/>
        <v>1.0071574961210459</v>
      </c>
    </row>
    <row r="65" spans="1:8" ht="26.25" customHeight="1" x14ac:dyDescent="0.4">
      <c r="A65" s="243" t="s">
        <v>99</v>
      </c>
      <c r="B65" s="374">
        <v>1</v>
      </c>
      <c r="C65" s="476"/>
      <c r="D65" s="480"/>
      <c r="E65" s="272">
        <v>2</v>
      </c>
      <c r="F65" s="376">
        <v>1671220</v>
      </c>
      <c r="G65" s="336">
        <f>IF(ISBLANK(F65),"-",(F65/$D$50*$D$47*$B$68)*($B$57/$D$64))</f>
        <v>79.443940695692575</v>
      </c>
      <c r="H65" s="333">
        <f t="shared" si="0"/>
        <v>0.99304925869615723</v>
      </c>
    </row>
    <row r="66" spans="1:8" ht="26.25" customHeight="1" x14ac:dyDescent="0.4">
      <c r="A66" s="243" t="s">
        <v>100</v>
      </c>
      <c r="B66" s="374">
        <v>1</v>
      </c>
      <c r="C66" s="476"/>
      <c r="D66" s="480"/>
      <c r="E66" s="272">
        <v>3</v>
      </c>
      <c r="F66" s="376">
        <v>1646729</v>
      </c>
      <c r="G66" s="336">
        <f>IF(ISBLANK(F66),"-",(F66/$D$50*$D$47*$B$68)*($B$57/$D$64))</f>
        <v>78.279724403655479</v>
      </c>
      <c r="H66" s="333">
        <f t="shared" si="0"/>
        <v>0.97849655504569344</v>
      </c>
    </row>
    <row r="67" spans="1:8" ht="21" customHeight="1" thickBot="1" x14ac:dyDescent="0.45">
      <c r="A67" s="243" t="s">
        <v>101</v>
      </c>
      <c r="B67" s="374">
        <v>1</v>
      </c>
      <c r="C67" s="477"/>
      <c r="D67" s="481"/>
      <c r="E67" s="273">
        <v>4</v>
      </c>
      <c r="F67" s="382"/>
      <c r="G67" s="337" t="str">
        <f>IF(ISBLANK(F67),"-",(F67/$D$50*$D$47*$B$68)*($B$57/$D$64))</f>
        <v>-</v>
      </c>
      <c r="H67" s="334" t="str">
        <f t="shared" si="0"/>
        <v>-</v>
      </c>
    </row>
    <row r="68" spans="1:8" ht="21.75" customHeight="1" x14ac:dyDescent="0.4">
      <c r="A68" s="243" t="s">
        <v>102</v>
      </c>
      <c r="B68" s="344">
        <f>(B67/B66)*(B65/B64)*(B63/B62)*(B61/B60)*B59</f>
        <v>100</v>
      </c>
      <c r="C68" s="475" t="s">
        <v>103</v>
      </c>
      <c r="D68" s="479">
        <v>188.04</v>
      </c>
      <c r="E68" s="271">
        <v>1</v>
      </c>
      <c r="F68" s="381">
        <v>1776266</v>
      </c>
      <c r="G68" s="335">
        <f>IF(ISBLANK(F68),"-",(F68/$D$50*$D$47*$B$68)*($B$57/$D$68))</f>
        <v>82.695184579140161</v>
      </c>
      <c r="H68" s="310">
        <f t="shared" si="0"/>
        <v>1.033689807239252</v>
      </c>
    </row>
    <row r="69" spans="1:8" ht="21.75" customHeight="1" thickBot="1" x14ac:dyDescent="0.45">
      <c r="A69" s="361" t="s">
        <v>104</v>
      </c>
      <c r="B69" s="380">
        <f>D47*B68/B56*B57</f>
        <v>187.36849999999998</v>
      </c>
      <c r="C69" s="476"/>
      <c r="D69" s="480"/>
      <c r="E69" s="272">
        <v>2</v>
      </c>
      <c r="F69" s="376">
        <v>1750317</v>
      </c>
      <c r="G69" s="336">
        <f>IF(ISBLANK(F69),"-",(F69/$D$50*$D$47*$B$68)*($B$57/$D$68))</f>
        <v>81.487112508490782</v>
      </c>
      <c r="H69" s="310">
        <f t="shared" si="0"/>
        <v>1.0185889063561349</v>
      </c>
    </row>
    <row r="70" spans="1:8" ht="22.5" customHeight="1" x14ac:dyDescent="0.4">
      <c r="A70" s="489" t="s">
        <v>77</v>
      </c>
      <c r="B70" s="490"/>
      <c r="C70" s="476"/>
      <c r="D70" s="480"/>
      <c r="E70" s="272">
        <v>3</v>
      </c>
      <c r="F70" s="376">
        <v>1765090</v>
      </c>
      <c r="G70" s="336">
        <f>IF(ISBLANK(F70),"-",(F70/$D$50*$D$47*$B$68)*($B$57/$D$68))</f>
        <v>82.174878846295826</v>
      </c>
      <c r="H70" s="310">
        <f t="shared" si="0"/>
        <v>1.0271859855786978</v>
      </c>
    </row>
    <row r="71" spans="1:8" ht="21.75" customHeight="1" thickBot="1" x14ac:dyDescent="0.45">
      <c r="A71" s="491"/>
      <c r="B71" s="492"/>
      <c r="C71" s="478"/>
      <c r="D71" s="481"/>
      <c r="E71" s="273">
        <v>4</v>
      </c>
      <c r="F71" s="382"/>
      <c r="G71" s="337" t="str">
        <f>IF(ISBLANK(F71),"-",(F71/$D$50*$D$47*$B$68)*($B$57/$D$68))</f>
        <v>-</v>
      </c>
      <c r="H71" s="311" t="str">
        <f t="shared" si="0"/>
        <v>-</v>
      </c>
    </row>
    <row r="72" spans="1:8" ht="26.25" customHeight="1" x14ac:dyDescent="0.4">
      <c r="A72" s="274"/>
      <c r="B72" s="274"/>
      <c r="C72" s="274"/>
      <c r="D72" s="274"/>
      <c r="E72" s="274"/>
      <c r="F72" s="275"/>
      <c r="G72" s="264" t="s">
        <v>70</v>
      </c>
      <c r="H72" s="383">
        <f>AVERAGE(H60:H71)</f>
        <v>1.0079472024358391</v>
      </c>
    </row>
    <row r="73" spans="1:8" ht="26.25" customHeight="1" x14ac:dyDescent="0.4">
      <c r="C73" s="274"/>
      <c r="D73" s="274"/>
      <c r="E73" s="274"/>
      <c r="F73" s="275"/>
      <c r="G73" s="261" t="s">
        <v>83</v>
      </c>
      <c r="H73" s="384">
        <f>STDEV(H60:H71)/H72</f>
        <v>1.7138323088266485E-2</v>
      </c>
    </row>
    <row r="74" spans="1:8" ht="27" customHeight="1" x14ac:dyDescent="0.4">
      <c r="A74" s="274"/>
      <c r="B74" s="274"/>
      <c r="C74" s="275"/>
      <c r="D74" s="275"/>
      <c r="E74" s="276"/>
      <c r="F74" s="275"/>
      <c r="G74" s="263" t="s">
        <v>19</v>
      </c>
      <c r="H74" s="385">
        <f>COUNT(H60:H71)</f>
        <v>9</v>
      </c>
    </row>
    <row r="75" spans="1:8" ht="18.75" x14ac:dyDescent="0.3">
      <c r="A75" s="274"/>
      <c r="B75" s="274"/>
      <c r="C75" s="275"/>
      <c r="D75" s="275"/>
      <c r="E75" s="276"/>
      <c r="F75" s="275"/>
      <c r="G75" s="296"/>
      <c r="H75" s="351"/>
    </row>
    <row r="76" spans="1:8" ht="18.75" x14ac:dyDescent="0.3">
      <c r="A76" s="230" t="s">
        <v>128</v>
      </c>
      <c r="B76" s="367" t="s">
        <v>122</v>
      </c>
      <c r="C76" s="465" t="str">
        <f>C56</f>
        <v>ARTEMETHER</v>
      </c>
      <c r="D76" s="465"/>
      <c r="E76" s="368" t="s">
        <v>107</v>
      </c>
      <c r="F76" s="368"/>
      <c r="G76" s="369">
        <f>H72</f>
        <v>1.0079472024358391</v>
      </c>
      <c r="H76" s="351"/>
    </row>
    <row r="77" spans="1:8" ht="18.75" x14ac:dyDescent="0.3">
      <c r="A77" s="274"/>
      <c r="B77" s="274"/>
      <c r="C77" s="275"/>
      <c r="D77" s="275"/>
      <c r="E77" s="276"/>
      <c r="F77" s="275"/>
      <c r="G77" s="296"/>
      <c r="H77" s="351"/>
    </row>
    <row r="78" spans="1:8" ht="26.25" customHeight="1" x14ac:dyDescent="0.4">
      <c r="A78" s="229" t="s">
        <v>129</v>
      </c>
      <c r="B78" s="229" t="s">
        <v>130</v>
      </c>
      <c r="D78" s="389" t="s">
        <v>131</v>
      </c>
    </row>
    <row r="79" spans="1:8" ht="18.75" x14ac:dyDescent="0.3">
      <c r="A79" s="229"/>
      <c r="B79" s="229"/>
    </row>
    <row r="80" spans="1:8" ht="26.25" customHeight="1" x14ac:dyDescent="0.4">
      <c r="A80" s="230" t="s">
        <v>4</v>
      </c>
      <c r="B80" s="498" t="str">
        <f>B26</f>
        <v>ARTEMETHER</v>
      </c>
      <c r="C80" s="498"/>
    </row>
    <row r="81" spans="1:11" ht="26.25" customHeight="1" x14ac:dyDescent="0.4">
      <c r="A81" s="232" t="s">
        <v>47</v>
      </c>
      <c r="B81" s="370" t="str">
        <f>B27</f>
        <v>F0J018</v>
      </c>
    </row>
    <row r="82" spans="1:11" ht="27" customHeight="1" x14ac:dyDescent="0.4">
      <c r="A82" s="232" t="s">
        <v>6</v>
      </c>
      <c r="B82" s="370">
        <f>B28</f>
        <v>99.8</v>
      </c>
    </row>
    <row r="83" spans="1:11" s="3" customFormat="1" ht="27" customHeight="1" x14ac:dyDescent="0.4">
      <c r="A83" s="232" t="s">
        <v>48</v>
      </c>
      <c r="B83" s="370">
        <f>B29</f>
        <v>0</v>
      </c>
      <c r="C83" s="467" t="s">
        <v>49</v>
      </c>
      <c r="D83" s="468"/>
      <c r="E83" s="468"/>
      <c r="F83" s="468"/>
      <c r="G83" s="469"/>
      <c r="I83" s="234"/>
      <c r="J83" s="234"/>
      <c r="K83" s="234"/>
    </row>
    <row r="84" spans="1:11" s="3" customFormat="1" ht="19.5" customHeight="1" x14ac:dyDescent="0.3">
      <c r="A84" s="232" t="s">
        <v>50</v>
      </c>
      <c r="B84" s="231">
        <f>B82-B83</f>
        <v>99.8</v>
      </c>
      <c r="C84" s="235"/>
      <c r="D84" s="235"/>
      <c r="E84" s="235"/>
      <c r="F84" s="235"/>
      <c r="G84" s="236"/>
      <c r="I84" s="234"/>
      <c r="J84" s="234"/>
      <c r="K84" s="234"/>
    </row>
    <row r="85" spans="1:11" s="3" customFormat="1" ht="27" customHeight="1" x14ac:dyDescent="0.4">
      <c r="A85" s="232" t="s">
        <v>51</v>
      </c>
      <c r="B85" s="372">
        <v>1</v>
      </c>
      <c r="C85" s="472" t="s">
        <v>52</v>
      </c>
      <c r="D85" s="473"/>
      <c r="E85" s="473"/>
      <c r="F85" s="473"/>
      <c r="G85" s="473"/>
      <c r="H85" s="474"/>
      <c r="I85" s="234"/>
      <c r="J85" s="234"/>
      <c r="K85" s="234"/>
    </row>
    <row r="86" spans="1:11" s="3" customFormat="1" ht="27" customHeight="1" x14ac:dyDescent="0.4">
      <c r="A86" s="232" t="s">
        <v>53</v>
      </c>
      <c r="B86" s="372">
        <v>1</v>
      </c>
      <c r="C86" s="472" t="s">
        <v>54</v>
      </c>
      <c r="D86" s="473"/>
      <c r="E86" s="473"/>
      <c r="F86" s="473"/>
      <c r="G86" s="473"/>
      <c r="H86" s="474"/>
      <c r="I86" s="234"/>
      <c r="J86" s="234"/>
      <c r="K86" s="234"/>
    </row>
    <row r="87" spans="1:11" s="3" customFormat="1" ht="18.75" x14ac:dyDescent="0.3">
      <c r="A87" s="232"/>
      <c r="B87" s="231"/>
      <c r="C87" s="235"/>
      <c r="D87" s="235"/>
      <c r="E87" s="235"/>
      <c r="F87" s="235"/>
      <c r="G87" s="236"/>
      <c r="I87" s="234"/>
      <c r="J87" s="234"/>
      <c r="K87" s="234"/>
    </row>
    <row r="88" spans="1:11" s="3" customFormat="1" ht="18.75" x14ac:dyDescent="0.3">
      <c r="A88" s="232" t="s">
        <v>55</v>
      </c>
      <c r="B88" s="241">
        <f>B85/B86</f>
        <v>1</v>
      </c>
      <c r="C88" s="224" t="s">
        <v>56</v>
      </c>
      <c r="D88" s="235"/>
      <c r="E88" s="235"/>
      <c r="F88" s="235"/>
      <c r="G88" s="236"/>
      <c r="I88" s="234"/>
      <c r="J88" s="234"/>
      <c r="K88" s="234"/>
    </row>
    <row r="89" spans="1:11" ht="19.5" customHeight="1" x14ac:dyDescent="0.3">
      <c r="A89" s="229"/>
      <c r="B89" s="229"/>
    </row>
    <row r="90" spans="1:11" ht="27" customHeight="1" x14ac:dyDescent="0.4">
      <c r="A90" s="242" t="s">
        <v>124</v>
      </c>
      <c r="B90" s="373">
        <v>100</v>
      </c>
      <c r="D90" s="305" t="s">
        <v>58</v>
      </c>
      <c r="E90" s="306"/>
      <c r="F90" s="470" t="s">
        <v>59</v>
      </c>
      <c r="G90" s="471"/>
    </row>
    <row r="91" spans="1:11" ht="26.25" customHeight="1" x14ac:dyDescent="0.4">
      <c r="A91" s="243" t="s">
        <v>60</v>
      </c>
      <c r="B91" s="374">
        <v>5</v>
      </c>
      <c r="C91" s="302" t="s">
        <v>125</v>
      </c>
      <c r="D91" s="246" t="s">
        <v>62</v>
      </c>
      <c r="E91" s="303" t="s">
        <v>63</v>
      </c>
      <c r="F91" s="246" t="s">
        <v>62</v>
      </c>
      <c r="G91" s="247" t="s">
        <v>63</v>
      </c>
    </row>
    <row r="92" spans="1:11" ht="26.25" customHeight="1" x14ac:dyDescent="0.4">
      <c r="A92" s="243" t="s">
        <v>65</v>
      </c>
      <c r="B92" s="374">
        <v>50</v>
      </c>
      <c r="C92" s="300">
        <v>1</v>
      </c>
      <c r="D92" s="375">
        <v>972650</v>
      </c>
      <c r="E92" s="319">
        <f>IF(ISBLANK(D92),"-",$D$102/$D$99*D92)</f>
        <v>885999.27126981237</v>
      </c>
      <c r="F92" s="375">
        <v>939657</v>
      </c>
      <c r="G92" s="322">
        <f>IF(ISBLANK(F92),"-",$D$102/$F$99*F92)</f>
        <v>892032.28816704941</v>
      </c>
    </row>
    <row r="93" spans="1:11" ht="26.25" customHeight="1" x14ac:dyDescent="0.4">
      <c r="A93" s="243" t="s">
        <v>66</v>
      </c>
      <c r="B93" s="374">
        <v>1</v>
      </c>
      <c r="C93" s="275">
        <v>2</v>
      </c>
      <c r="D93" s="376">
        <v>976166</v>
      </c>
      <c r="E93" s="320">
        <f>IF(ISBLANK(D93),"-",$D$102/$D$99*D93)</f>
        <v>889202.04044452542</v>
      </c>
      <c r="F93" s="376">
        <v>937045</v>
      </c>
      <c r="G93" s="323">
        <f>IF(ISBLANK(F93),"-",$D$102/$F$99*F93)</f>
        <v>889552.67237459286</v>
      </c>
    </row>
    <row r="94" spans="1:11" ht="26.25" customHeight="1" x14ac:dyDescent="0.4">
      <c r="A94" s="243" t="s">
        <v>67</v>
      </c>
      <c r="B94" s="374">
        <v>1</v>
      </c>
      <c r="C94" s="275">
        <v>3</v>
      </c>
      <c r="D94" s="376">
        <v>973510</v>
      </c>
      <c r="E94" s="320">
        <f>IF(ISBLANK(D94),"-",$D$102/$D$99*D94)</f>
        <v>886782.65622153401</v>
      </c>
      <c r="F94" s="376">
        <v>941323</v>
      </c>
      <c r="G94" s="323">
        <f>IF(ISBLANK(F94),"-",$D$102/$F$99*F94)</f>
        <v>893613.85015412164</v>
      </c>
    </row>
    <row r="95" spans="1:11" ht="26.25" customHeight="1" x14ac:dyDescent="0.4">
      <c r="A95" s="243" t="s">
        <v>68</v>
      </c>
      <c r="B95" s="374">
        <v>1</v>
      </c>
      <c r="C95" s="304">
        <v>4</v>
      </c>
      <c r="D95" s="377"/>
      <c r="E95" s="321" t="str">
        <f>IF(ISBLANK(D95),"-",$D$102/$D$99*D95)</f>
        <v>-</v>
      </c>
      <c r="F95" s="386"/>
      <c r="G95" s="324" t="str">
        <f>IF(ISBLANK(F95),"-",$D$102/$F$99*F95)</f>
        <v>-</v>
      </c>
    </row>
    <row r="96" spans="1:11" ht="27" customHeight="1" thickBot="1" x14ac:dyDescent="0.45">
      <c r="A96" s="243" t="s">
        <v>69</v>
      </c>
      <c r="B96" s="374">
        <v>1</v>
      </c>
      <c r="C96" s="296" t="s">
        <v>70</v>
      </c>
      <c r="D96" s="362">
        <f>AVERAGE(D92:D95)</f>
        <v>974108.66666666663</v>
      </c>
      <c r="E96" s="278">
        <f>AVERAGE(E92:E95)</f>
        <v>887327.98931195727</v>
      </c>
      <c r="F96" s="301">
        <f>AVERAGE(F92:F95)</f>
        <v>939341.66666666663</v>
      </c>
      <c r="G96" s="325">
        <f>AVERAGE(G92:G95)</f>
        <v>891732.93689858785</v>
      </c>
    </row>
    <row r="97" spans="1:9" ht="26.25" customHeight="1" x14ac:dyDescent="0.4">
      <c r="A97" s="243" t="s">
        <v>71</v>
      </c>
      <c r="B97" s="371">
        <v>1</v>
      </c>
      <c r="C97" s="353" t="s">
        <v>112</v>
      </c>
      <c r="D97" s="400">
        <v>22</v>
      </c>
      <c r="E97" s="368"/>
      <c r="F97" s="378">
        <v>21.11</v>
      </c>
      <c r="G97" s="338"/>
    </row>
    <row r="98" spans="1:9" ht="26.25" customHeight="1" x14ac:dyDescent="0.4">
      <c r="A98" s="243" t="s">
        <v>73</v>
      </c>
      <c r="B98" s="371">
        <v>1</v>
      </c>
      <c r="C98" s="354" t="s">
        <v>113</v>
      </c>
      <c r="D98" s="355">
        <f>D97*B88</f>
        <v>22</v>
      </c>
      <c r="E98" s="257"/>
      <c r="F98" s="256">
        <f>F97*B88</f>
        <v>21.11</v>
      </c>
    </row>
    <row r="99" spans="1:9" ht="19.5" customHeight="1" thickBot="1" x14ac:dyDescent="0.35">
      <c r="A99" s="243" t="s">
        <v>75</v>
      </c>
      <c r="B99" s="352">
        <f>(B98/B97)*(B96/B95)*(B94/B93)*(B92/B91)*B90</f>
        <v>1000</v>
      </c>
      <c r="C99" s="354" t="s">
        <v>76</v>
      </c>
      <c r="D99" s="356">
        <f>D98*$B$84/100</f>
        <v>21.956</v>
      </c>
      <c r="E99" s="259"/>
      <c r="F99" s="258">
        <f>F98*$B$84/100</f>
        <v>21.067779999999999</v>
      </c>
    </row>
    <row r="100" spans="1:9" ht="19.5" customHeight="1" thickBot="1" x14ac:dyDescent="0.35">
      <c r="A100" s="483" t="s">
        <v>77</v>
      </c>
      <c r="B100" s="487"/>
      <c r="C100" s="354" t="s">
        <v>78</v>
      </c>
      <c r="D100" s="355">
        <f>D99/$B$99</f>
        <v>2.1956E-2</v>
      </c>
      <c r="E100" s="259"/>
      <c r="F100" s="260">
        <f>F99/$B$99</f>
        <v>2.1067779999999998E-2</v>
      </c>
      <c r="G100" s="338"/>
      <c r="H100" s="339"/>
    </row>
    <row r="101" spans="1:9" ht="19.5" customHeight="1" x14ac:dyDescent="0.3">
      <c r="A101" s="485"/>
      <c r="B101" s="488"/>
      <c r="C101" s="354" t="s">
        <v>126</v>
      </c>
      <c r="D101" s="363">
        <f>$B$56/$B$117</f>
        <v>0.02</v>
      </c>
      <c r="F101" s="262"/>
      <c r="G101" s="340"/>
      <c r="H101" s="339"/>
    </row>
    <row r="102" spans="1:9" ht="18.75" x14ac:dyDescent="0.3">
      <c r="C102" s="354" t="s">
        <v>80</v>
      </c>
      <c r="D102" s="355">
        <f>D101*$B$99</f>
        <v>20</v>
      </c>
      <c r="F102" s="262"/>
      <c r="G102" s="338"/>
      <c r="H102" s="339"/>
    </row>
    <row r="103" spans="1:9" ht="19.5" customHeight="1" x14ac:dyDescent="0.3">
      <c r="C103" s="357" t="s">
        <v>81</v>
      </c>
      <c r="D103" s="364">
        <f>D102/B34</f>
        <v>20</v>
      </c>
      <c r="F103" s="265"/>
      <c r="G103" s="338"/>
      <c r="H103" s="339"/>
      <c r="I103" s="279"/>
    </row>
    <row r="104" spans="1:9" ht="18.75" x14ac:dyDescent="0.3">
      <c r="C104" s="359" t="s">
        <v>116</v>
      </c>
      <c r="D104" s="360">
        <f>AVERAGE(E92:E95,G92:G95)</f>
        <v>889530.46310527262</v>
      </c>
      <c r="F104" s="265"/>
      <c r="G104" s="341"/>
      <c r="H104" s="339"/>
      <c r="I104" s="281"/>
    </row>
    <row r="105" spans="1:9" ht="18.75" x14ac:dyDescent="0.3">
      <c r="C105" s="261" t="s">
        <v>83</v>
      </c>
      <c r="D105" s="280">
        <f>STDEV(E92:E95,G92:G95)/D104</f>
        <v>3.299116851610738E-3</v>
      </c>
      <c r="F105" s="265"/>
      <c r="G105" s="338"/>
      <c r="H105" s="339"/>
      <c r="I105" s="281"/>
    </row>
    <row r="106" spans="1:9" ht="19.5" customHeight="1" x14ac:dyDescent="0.3">
      <c r="C106" s="263" t="s">
        <v>19</v>
      </c>
      <c r="D106" s="282">
        <f>COUNT(E92:E95,G92:G95)</f>
        <v>6</v>
      </c>
      <c r="F106" s="265"/>
      <c r="G106" s="338"/>
      <c r="H106" s="339"/>
      <c r="I106" s="281"/>
    </row>
    <row r="107" spans="1:9" ht="19.5" customHeight="1" x14ac:dyDescent="0.3">
      <c r="A107" s="223"/>
      <c r="B107" s="223"/>
      <c r="C107" s="223"/>
      <c r="D107" s="223"/>
      <c r="E107" s="223"/>
    </row>
    <row r="108" spans="1:9" ht="26.25" customHeight="1" x14ac:dyDescent="0.4">
      <c r="A108" s="242" t="s">
        <v>117</v>
      </c>
      <c r="B108" s="373">
        <v>1000</v>
      </c>
      <c r="C108" s="283" t="s">
        <v>132</v>
      </c>
      <c r="D108" s="284" t="s">
        <v>62</v>
      </c>
      <c r="E108" s="285" t="s">
        <v>119</v>
      </c>
      <c r="F108" s="286" t="s">
        <v>120</v>
      </c>
    </row>
    <row r="109" spans="1:9" ht="26.25" customHeight="1" x14ac:dyDescent="0.4">
      <c r="A109" s="243" t="s">
        <v>121</v>
      </c>
      <c r="B109" s="374">
        <v>5</v>
      </c>
      <c r="C109" s="249">
        <v>1</v>
      </c>
      <c r="D109" s="387">
        <v>605261</v>
      </c>
      <c r="E109" s="287">
        <f t="shared" ref="E109:E114" si="1">IF(ISBLANK(D109),"-",D109/$D$104*$D$101*$B$117)</f>
        <v>54.434200972687279</v>
      </c>
      <c r="F109" s="288">
        <f t="shared" ref="F109:F114" si="2">IF(ISBLANK(D109), "-", E109/$B$56)</f>
        <v>0.68042751215859099</v>
      </c>
    </row>
    <row r="110" spans="1:9" ht="26.25" customHeight="1" x14ac:dyDescent="0.4">
      <c r="A110" s="243" t="s">
        <v>94</v>
      </c>
      <c r="B110" s="374">
        <v>20</v>
      </c>
      <c r="C110" s="249">
        <v>2</v>
      </c>
      <c r="D110" s="387">
        <v>595429</v>
      </c>
      <c r="E110" s="289">
        <f t="shared" si="1"/>
        <v>53.549959192755225</v>
      </c>
      <c r="F110" s="312">
        <f t="shared" si="2"/>
        <v>0.66937448990944026</v>
      </c>
    </row>
    <row r="111" spans="1:9" ht="26.25" customHeight="1" x14ac:dyDescent="0.4">
      <c r="A111" s="243" t="s">
        <v>95</v>
      </c>
      <c r="B111" s="374">
        <v>1</v>
      </c>
      <c r="C111" s="249">
        <v>3</v>
      </c>
      <c r="D111" s="387">
        <v>624954</v>
      </c>
      <c r="E111" s="289">
        <f t="shared" si="1"/>
        <v>56.205292650087827</v>
      </c>
      <c r="F111" s="312">
        <f t="shared" si="2"/>
        <v>0.7025661581260978</v>
      </c>
    </row>
    <row r="112" spans="1:9" ht="26.25" customHeight="1" x14ac:dyDescent="0.4">
      <c r="A112" s="243" t="s">
        <v>96</v>
      </c>
      <c r="B112" s="374">
        <v>1</v>
      </c>
      <c r="C112" s="249">
        <v>4</v>
      </c>
      <c r="D112" s="387">
        <v>617801</v>
      </c>
      <c r="E112" s="289">
        <f t="shared" si="1"/>
        <v>55.561986969468016</v>
      </c>
      <c r="F112" s="312">
        <f t="shared" si="2"/>
        <v>0.69452483711835022</v>
      </c>
    </row>
    <row r="113" spans="1:9" ht="26.25" customHeight="1" x14ac:dyDescent="0.4">
      <c r="A113" s="243" t="s">
        <v>97</v>
      </c>
      <c r="B113" s="374">
        <v>1</v>
      </c>
      <c r="C113" s="249">
        <v>5</v>
      </c>
      <c r="D113" s="387">
        <v>583412</v>
      </c>
      <c r="E113" s="289">
        <f t="shared" si="1"/>
        <v>52.469209246717419</v>
      </c>
      <c r="F113" s="312">
        <f t="shared" si="2"/>
        <v>0.65586511558396776</v>
      </c>
    </row>
    <row r="114" spans="1:9" ht="26.25" customHeight="1" x14ac:dyDescent="0.4">
      <c r="A114" s="243" t="s">
        <v>99</v>
      </c>
      <c r="B114" s="374">
        <v>1</v>
      </c>
      <c r="C114" s="252">
        <v>6</v>
      </c>
      <c r="D114" s="388">
        <v>663097</v>
      </c>
      <c r="E114" s="290">
        <f t="shared" si="1"/>
        <v>59.635686691172921</v>
      </c>
      <c r="F114" s="313">
        <f t="shared" si="2"/>
        <v>0.74544608363966147</v>
      </c>
    </row>
    <row r="115" spans="1:9" ht="26.25" customHeight="1" x14ac:dyDescent="0.4">
      <c r="A115" s="243" t="s">
        <v>100</v>
      </c>
      <c r="B115" s="374">
        <v>1</v>
      </c>
      <c r="C115" s="249"/>
      <c r="D115" s="275"/>
      <c r="E115" s="277"/>
      <c r="F115" s="291"/>
    </row>
    <row r="116" spans="1:9" ht="26.25" customHeight="1" x14ac:dyDescent="0.4">
      <c r="A116" s="243" t="s">
        <v>101</v>
      </c>
      <c r="B116" s="374">
        <v>1</v>
      </c>
      <c r="C116" s="249"/>
      <c r="D116" s="292"/>
      <c r="E116" s="293" t="s">
        <v>70</v>
      </c>
      <c r="F116" s="390">
        <f>AVERAGE(F109:F114)</f>
        <v>0.69136736608935134</v>
      </c>
    </row>
    <row r="117" spans="1:9" ht="27" customHeight="1" x14ac:dyDescent="0.4">
      <c r="A117" s="243" t="s">
        <v>102</v>
      </c>
      <c r="B117" s="343">
        <f>(B116/B115)*(B114/B113)*(B112/B111)*(B110/B109)*B108</f>
        <v>4000</v>
      </c>
      <c r="C117" s="294"/>
      <c r="D117" s="295"/>
      <c r="E117" s="296" t="s">
        <v>83</v>
      </c>
      <c r="F117" s="391">
        <f>STDEV(F109:F114)/F116</f>
        <v>4.5388983905921887E-2</v>
      </c>
    </row>
    <row r="118" spans="1:9" ht="27" customHeight="1" x14ac:dyDescent="0.4">
      <c r="A118" s="483" t="s">
        <v>77</v>
      </c>
      <c r="B118" s="484"/>
      <c r="C118" s="297"/>
      <c r="D118" s="298"/>
      <c r="E118" s="299" t="s">
        <v>19</v>
      </c>
      <c r="F118" s="392">
        <f>COUNT(F109:F114)</f>
        <v>6</v>
      </c>
      <c r="I118" s="281"/>
    </row>
    <row r="119" spans="1:9" ht="19.5" customHeight="1" x14ac:dyDescent="0.3">
      <c r="A119" s="485"/>
      <c r="B119" s="486"/>
      <c r="C119" s="277"/>
      <c r="D119" s="277"/>
      <c r="E119" s="277"/>
      <c r="F119" s="275"/>
      <c r="G119" s="277"/>
      <c r="H119" s="277"/>
    </row>
    <row r="120" spans="1:9" ht="18.75" x14ac:dyDescent="0.3">
      <c r="A120" s="240"/>
      <c r="B120" s="240"/>
      <c r="C120" s="277"/>
      <c r="D120" s="277"/>
      <c r="E120" s="277"/>
      <c r="F120" s="275"/>
      <c r="G120" s="277"/>
      <c r="H120" s="277"/>
    </row>
    <row r="121" spans="1:9" ht="26.25" customHeight="1" x14ac:dyDescent="0.4">
      <c r="A121" s="230" t="s">
        <v>128</v>
      </c>
      <c r="B121" s="367" t="s">
        <v>122</v>
      </c>
      <c r="C121" s="465" t="str">
        <f>C76</f>
        <v>ARTEMETHER</v>
      </c>
      <c r="D121" s="465"/>
      <c r="E121" s="368" t="s">
        <v>123</v>
      </c>
      <c r="F121" s="368"/>
      <c r="G121" s="393">
        <f>F116</f>
        <v>0.69136736608935134</v>
      </c>
      <c r="H121" s="277"/>
    </row>
    <row r="122" spans="1:9" ht="18.75" x14ac:dyDescent="0.3">
      <c r="A122" s="240"/>
      <c r="B122" s="240"/>
      <c r="C122" s="277"/>
      <c r="D122" s="277"/>
      <c r="E122" s="277"/>
      <c r="F122" s="275"/>
      <c r="G122" s="277"/>
      <c r="H122" s="277"/>
    </row>
    <row r="123" spans="1:9" ht="26.25" customHeight="1" x14ac:dyDescent="0.4">
      <c r="A123" s="229" t="s">
        <v>129</v>
      </c>
      <c r="B123" s="229" t="s">
        <v>130</v>
      </c>
      <c r="D123" s="389" t="s">
        <v>133</v>
      </c>
    </row>
    <row r="124" spans="1:9" ht="19.5" customHeight="1" x14ac:dyDescent="0.3">
      <c r="A124" s="223"/>
      <c r="B124" s="223"/>
      <c r="C124" s="223"/>
      <c r="D124" s="223"/>
      <c r="E124" s="223"/>
    </row>
    <row r="125" spans="1:9" ht="26.25" customHeight="1" x14ac:dyDescent="0.4">
      <c r="A125" s="242" t="s">
        <v>117</v>
      </c>
      <c r="B125" s="373">
        <v>1000</v>
      </c>
      <c r="C125" s="283" t="s">
        <v>132</v>
      </c>
      <c r="D125" s="284" t="s">
        <v>62</v>
      </c>
      <c r="E125" s="285" t="s">
        <v>119</v>
      </c>
      <c r="F125" s="286" t="s">
        <v>120</v>
      </c>
    </row>
    <row r="126" spans="1:9" ht="26.25" customHeight="1" x14ac:dyDescent="0.4">
      <c r="A126" s="243" t="s">
        <v>121</v>
      </c>
      <c r="B126" s="374">
        <v>5</v>
      </c>
      <c r="C126" s="249">
        <v>1</v>
      </c>
      <c r="D126" s="387">
        <v>814308</v>
      </c>
      <c r="E126" s="348">
        <f t="shared" ref="E126:E131" si="3">IF(ISBLANK(D126),"-",D126/$D$104*$D$101*$B$134)</f>
        <v>73.234861201476775</v>
      </c>
      <c r="F126" s="345">
        <f t="shared" ref="F126:F131" si="4">IF(ISBLANK(D126), "-", E126/$B$56)</f>
        <v>0.91543576501845969</v>
      </c>
    </row>
    <row r="127" spans="1:9" ht="26.25" customHeight="1" x14ac:dyDescent="0.4">
      <c r="A127" s="243" t="s">
        <v>94</v>
      </c>
      <c r="B127" s="374">
        <v>20</v>
      </c>
      <c r="C127" s="249">
        <v>2</v>
      </c>
      <c r="D127" s="387">
        <v>859354</v>
      </c>
      <c r="E127" s="349">
        <f t="shared" si="3"/>
        <v>77.286077151316064</v>
      </c>
      <c r="F127" s="346">
        <f t="shared" si="4"/>
        <v>0.96607596439145083</v>
      </c>
    </row>
    <row r="128" spans="1:9" ht="26.25" customHeight="1" x14ac:dyDescent="0.4">
      <c r="A128" s="243" t="s">
        <v>95</v>
      </c>
      <c r="B128" s="374">
        <v>1</v>
      </c>
      <c r="C128" s="249">
        <v>3</v>
      </c>
      <c r="D128" s="387">
        <v>863810</v>
      </c>
      <c r="E128" s="349">
        <f t="shared" si="3"/>
        <v>77.686827901049298</v>
      </c>
      <c r="F128" s="346">
        <f t="shared" si="4"/>
        <v>0.97108534876311625</v>
      </c>
    </row>
    <row r="129" spans="1:9" ht="26.25" customHeight="1" x14ac:dyDescent="0.4">
      <c r="A129" s="243" t="s">
        <v>96</v>
      </c>
      <c r="B129" s="374">
        <v>1</v>
      </c>
      <c r="C129" s="249">
        <v>4</v>
      </c>
      <c r="D129" s="387">
        <v>874697</v>
      </c>
      <c r="E129" s="349">
        <f t="shared" si="3"/>
        <v>78.665951198254376</v>
      </c>
      <c r="F129" s="346">
        <f t="shared" si="4"/>
        <v>0.98332438997817972</v>
      </c>
    </row>
    <row r="130" spans="1:9" ht="26.25" customHeight="1" x14ac:dyDescent="0.4">
      <c r="A130" s="243" t="s">
        <v>97</v>
      </c>
      <c r="B130" s="374">
        <v>1</v>
      </c>
      <c r="C130" s="249">
        <v>5</v>
      </c>
      <c r="D130" s="387">
        <v>894286</v>
      </c>
      <c r="E130" s="349">
        <f t="shared" si="3"/>
        <v>80.427689626558831</v>
      </c>
      <c r="F130" s="346">
        <f t="shared" si="4"/>
        <v>1.0053461203319853</v>
      </c>
    </row>
    <row r="131" spans="1:9" ht="26.25" customHeight="1" x14ac:dyDescent="0.4">
      <c r="A131" s="243" t="s">
        <v>99</v>
      </c>
      <c r="B131" s="374">
        <v>1</v>
      </c>
      <c r="C131" s="252">
        <v>6</v>
      </c>
      <c r="D131" s="388">
        <v>891714</v>
      </c>
      <c r="E131" s="350">
        <f t="shared" si="3"/>
        <v>80.196376581605065</v>
      </c>
      <c r="F131" s="347">
        <f t="shared" si="4"/>
        <v>1.0024547072700634</v>
      </c>
    </row>
    <row r="132" spans="1:9" ht="26.25" customHeight="1" x14ac:dyDescent="0.4">
      <c r="A132" s="243" t="s">
        <v>100</v>
      </c>
      <c r="B132" s="374">
        <v>1</v>
      </c>
      <c r="C132" s="249"/>
      <c r="D132" s="275"/>
      <c r="E132" s="277"/>
      <c r="F132" s="291"/>
    </row>
    <row r="133" spans="1:9" ht="26.25" customHeight="1" x14ac:dyDescent="0.4">
      <c r="A133" s="243" t="s">
        <v>101</v>
      </c>
      <c r="B133" s="374">
        <v>1</v>
      </c>
      <c r="C133" s="249"/>
      <c r="D133" s="292"/>
      <c r="E133" s="293" t="s">
        <v>70</v>
      </c>
      <c r="F133" s="390">
        <f>AVERAGE(F126:F131)</f>
        <v>0.9739537159588757</v>
      </c>
    </row>
    <row r="134" spans="1:9" ht="27" customHeight="1" x14ac:dyDescent="0.4">
      <c r="A134" s="243" t="s">
        <v>102</v>
      </c>
      <c r="B134" s="394">
        <f>(B133/B132)*(B131/B130)*(B129/B128)*(B127/B126)*B125</f>
        <v>4000</v>
      </c>
      <c r="C134" s="294"/>
      <c r="D134" s="295"/>
      <c r="E134" s="296" t="s">
        <v>83</v>
      </c>
      <c r="F134" s="391">
        <f>STDEV(F126:F131)/F133</f>
        <v>3.3680408392516417E-2</v>
      </c>
    </row>
    <row r="135" spans="1:9" ht="27" customHeight="1" x14ac:dyDescent="0.4">
      <c r="A135" s="483" t="s">
        <v>77</v>
      </c>
      <c r="B135" s="484"/>
      <c r="C135" s="297"/>
      <c r="D135" s="298"/>
      <c r="E135" s="299" t="s">
        <v>19</v>
      </c>
      <c r="F135" s="392">
        <f>COUNT(F126:F131)</f>
        <v>6</v>
      </c>
      <c r="I135" s="281"/>
    </row>
    <row r="136" spans="1:9" ht="19.5" customHeight="1" x14ac:dyDescent="0.3">
      <c r="A136" s="485"/>
      <c r="B136" s="486"/>
      <c r="C136" s="277"/>
      <c r="D136" s="277"/>
      <c r="E136" s="277"/>
      <c r="F136" s="275"/>
      <c r="G136" s="277"/>
      <c r="H136" s="277"/>
    </row>
    <row r="137" spans="1:9" ht="18.75" x14ac:dyDescent="0.3">
      <c r="A137" s="240"/>
      <c r="B137" s="240"/>
      <c r="C137" s="277"/>
      <c r="D137" s="277"/>
      <c r="E137" s="277"/>
      <c r="F137" s="275"/>
      <c r="G137" s="277"/>
      <c r="H137" s="277"/>
    </row>
    <row r="138" spans="1:9" ht="26.25" customHeight="1" x14ac:dyDescent="0.4">
      <c r="A138" s="230" t="s">
        <v>128</v>
      </c>
      <c r="B138" s="367" t="s">
        <v>122</v>
      </c>
      <c r="C138" s="465" t="str">
        <f>C121</f>
        <v>ARTEMETHER</v>
      </c>
      <c r="D138" s="465"/>
      <c r="E138" s="368" t="s">
        <v>123</v>
      </c>
      <c r="F138" s="368"/>
      <c r="G138" s="393">
        <f>F133</f>
        <v>0.9739537159588757</v>
      </c>
      <c r="H138" s="277"/>
    </row>
    <row r="139" spans="1:9" ht="19.5" customHeight="1" x14ac:dyDescent="0.3">
      <c r="A139" s="314"/>
      <c r="B139" s="314"/>
      <c r="C139" s="315"/>
      <c r="D139" s="315"/>
      <c r="E139" s="315"/>
      <c r="F139" s="315"/>
      <c r="G139" s="315"/>
      <c r="H139" s="315"/>
    </row>
    <row r="140" spans="1:9" ht="18.75" x14ac:dyDescent="0.3">
      <c r="B140" s="466" t="s">
        <v>25</v>
      </c>
      <c r="C140" s="466"/>
      <c r="E140" s="302" t="s">
        <v>26</v>
      </c>
      <c r="F140" s="330"/>
      <c r="G140" s="466" t="s">
        <v>27</v>
      </c>
      <c r="H140" s="466"/>
    </row>
    <row r="141" spans="1:9" ht="83.1" customHeight="1" x14ac:dyDescent="0.3">
      <c r="A141" s="331" t="s">
        <v>28</v>
      </c>
      <c r="B141" s="365"/>
      <c r="C141" s="365"/>
      <c r="E141" s="326"/>
      <c r="F141" s="277"/>
      <c r="G141" s="328"/>
      <c r="H141" s="328"/>
    </row>
    <row r="142" spans="1:9" ht="83.1" customHeight="1" x14ac:dyDescent="0.3">
      <c r="A142" s="331" t="s">
        <v>29</v>
      </c>
      <c r="B142" s="366"/>
      <c r="C142" s="366"/>
      <c r="E142" s="327"/>
      <c r="F142" s="277"/>
      <c r="G142" s="329"/>
      <c r="H142" s="329"/>
    </row>
    <row r="143" spans="1:9" ht="18.75" x14ac:dyDescent="0.3">
      <c r="A143" s="274"/>
      <c r="B143" s="274"/>
      <c r="C143" s="275"/>
      <c r="D143" s="275"/>
      <c r="E143" s="275"/>
      <c r="F143" s="276"/>
      <c r="G143" s="275"/>
      <c r="H143" s="275"/>
    </row>
    <row r="144" spans="1:9" ht="18.75" x14ac:dyDescent="0.3">
      <c r="A144" s="274"/>
      <c r="B144" s="274"/>
      <c r="C144" s="275"/>
      <c r="D144" s="275"/>
      <c r="E144" s="275"/>
      <c r="F144" s="276"/>
      <c r="G144" s="275"/>
      <c r="H144" s="275"/>
    </row>
    <row r="145" spans="1:8" ht="18.75" x14ac:dyDescent="0.3">
      <c r="A145" s="274"/>
      <c r="B145" s="274"/>
      <c r="C145" s="275"/>
      <c r="D145" s="275"/>
      <c r="E145" s="275"/>
      <c r="F145" s="276"/>
      <c r="G145" s="275"/>
      <c r="H145" s="275"/>
    </row>
    <row r="146" spans="1:8" ht="18.75" x14ac:dyDescent="0.3">
      <c r="A146" s="274"/>
      <c r="B146" s="274"/>
      <c r="C146" s="275"/>
      <c r="D146" s="275"/>
      <c r="E146" s="275"/>
      <c r="F146" s="276"/>
      <c r="G146" s="275"/>
      <c r="H146" s="275"/>
    </row>
    <row r="147" spans="1:8" ht="18.75" x14ac:dyDescent="0.3">
      <c r="A147" s="274"/>
      <c r="B147" s="274"/>
      <c r="C147" s="275"/>
      <c r="D147" s="275"/>
      <c r="E147" s="275"/>
      <c r="F147" s="276"/>
      <c r="G147" s="275"/>
      <c r="H147" s="275"/>
    </row>
    <row r="148" spans="1:8" ht="18.75" x14ac:dyDescent="0.3">
      <c r="A148" s="274"/>
      <c r="B148" s="274"/>
      <c r="C148" s="275"/>
      <c r="D148" s="275"/>
      <c r="E148" s="275"/>
      <c r="F148" s="276"/>
      <c r="G148" s="275"/>
      <c r="H148" s="275"/>
    </row>
    <row r="149" spans="1:8" ht="18.75" x14ac:dyDescent="0.3">
      <c r="A149" s="274"/>
      <c r="B149" s="274"/>
      <c r="C149" s="275"/>
      <c r="D149" s="275"/>
      <c r="E149" s="275"/>
      <c r="F149" s="276"/>
      <c r="G149" s="275"/>
      <c r="H149" s="275"/>
    </row>
    <row r="150" spans="1:8" ht="18.75" x14ac:dyDescent="0.3">
      <c r="A150" s="274"/>
      <c r="B150" s="274"/>
      <c r="C150" s="275"/>
      <c r="D150" s="275"/>
      <c r="E150" s="275"/>
      <c r="F150" s="276"/>
      <c r="G150" s="275"/>
      <c r="H150" s="275"/>
    </row>
    <row r="151" spans="1:8" ht="18.75" x14ac:dyDescent="0.3">
      <c r="A151" s="274"/>
      <c r="B151" s="274"/>
      <c r="C151" s="275"/>
      <c r="D151" s="275"/>
      <c r="E151" s="275"/>
      <c r="F151" s="276"/>
      <c r="G151" s="275"/>
      <c r="H151" s="275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1">
    <mergeCell ref="A1:H7"/>
    <mergeCell ref="A8:H14"/>
    <mergeCell ref="A16:H16"/>
    <mergeCell ref="C85:H85"/>
    <mergeCell ref="C86:H86"/>
    <mergeCell ref="B80:C80"/>
    <mergeCell ref="B26:C26"/>
    <mergeCell ref="B18:C18"/>
    <mergeCell ref="F90:G90"/>
    <mergeCell ref="A100:B101"/>
    <mergeCell ref="A118:B119"/>
    <mergeCell ref="A46:B47"/>
    <mergeCell ref="C83:G83"/>
    <mergeCell ref="A70:B71"/>
    <mergeCell ref="C76:D76"/>
    <mergeCell ref="C138:D138"/>
    <mergeCell ref="B140:C140"/>
    <mergeCell ref="G140:H140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A135:B136"/>
    <mergeCell ref="C121:D121"/>
  </mergeCells>
  <printOptions horizontalCentered="1" verticalCentered="1"/>
  <pageMargins left="0.7" right="0.7" top="0.75" bottom="0.75" header="0.3" footer="0.3"/>
  <pageSetup paperSize="9" scale="20" fitToHeight="2" orientation="portrait" r:id="rId1"/>
  <headerFooter alignWithMargins="0"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2" zoomScale="60" zoomScaleNormal="40" zoomScalePageLayoutView="55" workbookViewId="0">
      <selection activeCell="B20" sqref="B20:C2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93" t="s">
        <v>44</v>
      </c>
      <c r="B1" s="493"/>
      <c r="C1" s="493"/>
      <c r="D1" s="493"/>
      <c r="E1" s="493"/>
      <c r="F1" s="493"/>
      <c r="G1" s="493"/>
      <c r="H1" s="493"/>
      <c r="I1" s="493"/>
    </row>
    <row r="2" spans="1:9" ht="18.75" customHeight="1" x14ac:dyDescent="0.25">
      <c r="A2" s="493"/>
      <c r="B2" s="493"/>
      <c r="C2" s="493"/>
      <c r="D2" s="493"/>
      <c r="E2" s="493"/>
      <c r="F2" s="493"/>
      <c r="G2" s="493"/>
      <c r="H2" s="493"/>
      <c r="I2" s="493"/>
    </row>
    <row r="3" spans="1:9" ht="18.75" customHeight="1" x14ac:dyDescent="0.25">
      <c r="A3" s="493"/>
      <c r="B3" s="493"/>
      <c r="C3" s="493"/>
      <c r="D3" s="493"/>
      <c r="E3" s="493"/>
      <c r="F3" s="493"/>
      <c r="G3" s="493"/>
      <c r="H3" s="493"/>
      <c r="I3" s="493"/>
    </row>
    <row r="4" spans="1:9" ht="18.75" customHeight="1" x14ac:dyDescent="0.25">
      <c r="A4" s="493"/>
      <c r="B4" s="493"/>
      <c r="C4" s="493"/>
      <c r="D4" s="493"/>
      <c r="E4" s="493"/>
      <c r="F4" s="493"/>
      <c r="G4" s="493"/>
      <c r="H4" s="493"/>
      <c r="I4" s="493"/>
    </row>
    <row r="5" spans="1:9" ht="18.75" customHeight="1" x14ac:dyDescent="0.25">
      <c r="A5" s="493"/>
      <c r="B5" s="493"/>
      <c r="C5" s="493"/>
      <c r="D5" s="493"/>
      <c r="E5" s="493"/>
      <c r="F5" s="493"/>
      <c r="G5" s="493"/>
      <c r="H5" s="493"/>
      <c r="I5" s="493"/>
    </row>
    <row r="6" spans="1:9" ht="18.75" customHeight="1" x14ac:dyDescent="0.25">
      <c r="A6" s="493"/>
      <c r="B6" s="493"/>
      <c r="C6" s="493"/>
      <c r="D6" s="493"/>
      <c r="E6" s="493"/>
      <c r="F6" s="493"/>
      <c r="G6" s="493"/>
      <c r="H6" s="493"/>
      <c r="I6" s="493"/>
    </row>
    <row r="7" spans="1:9" ht="18.75" customHeight="1" x14ac:dyDescent="0.25">
      <c r="A7" s="493"/>
      <c r="B7" s="493"/>
      <c r="C7" s="493"/>
      <c r="D7" s="493"/>
      <c r="E7" s="493"/>
      <c r="F7" s="493"/>
      <c r="G7" s="493"/>
      <c r="H7" s="493"/>
      <c r="I7" s="493"/>
    </row>
    <row r="8" spans="1:9" x14ac:dyDescent="0.25">
      <c r="A8" s="494" t="s">
        <v>45</v>
      </c>
      <c r="B8" s="494"/>
      <c r="C8" s="494"/>
      <c r="D8" s="494"/>
      <c r="E8" s="494"/>
      <c r="F8" s="494"/>
      <c r="G8" s="494"/>
      <c r="H8" s="494"/>
      <c r="I8" s="494"/>
    </row>
    <row r="9" spans="1:9" x14ac:dyDescent="0.25">
      <c r="A9" s="494"/>
      <c r="B9" s="494"/>
      <c r="C9" s="494"/>
      <c r="D9" s="494"/>
      <c r="E9" s="494"/>
      <c r="F9" s="494"/>
      <c r="G9" s="494"/>
      <c r="H9" s="494"/>
      <c r="I9" s="494"/>
    </row>
    <row r="10" spans="1:9" x14ac:dyDescent="0.25">
      <c r="A10" s="494"/>
      <c r="B10" s="494"/>
      <c r="C10" s="494"/>
      <c r="D10" s="494"/>
      <c r="E10" s="494"/>
      <c r="F10" s="494"/>
      <c r="G10" s="494"/>
      <c r="H10" s="494"/>
      <c r="I10" s="494"/>
    </row>
    <row r="11" spans="1:9" x14ac:dyDescent="0.25">
      <c r="A11" s="494"/>
      <c r="B11" s="494"/>
      <c r="C11" s="494"/>
      <c r="D11" s="494"/>
      <c r="E11" s="494"/>
      <c r="F11" s="494"/>
      <c r="G11" s="494"/>
      <c r="H11" s="494"/>
      <c r="I11" s="494"/>
    </row>
    <row r="12" spans="1:9" x14ac:dyDescent="0.25">
      <c r="A12" s="494"/>
      <c r="B12" s="494"/>
      <c r="C12" s="494"/>
      <c r="D12" s="494"/>
      <c r="E12" s="494"/>
      <c r="F12" s="494"/>
      <c r="G12" s="494"/>
      <c r="H12" s="494"/>
      <c r="I12" s="494"/>
    </row>
    <row r="13" spans="1:9" x14ac:dyDescent="0.25">
      <c r="A13" s="494"/>
      <c r="B13" s="494"/>
      <c r="C13" s="494"/>
      <c r="D13" s="494"/>
      <c r="E13" s="494"/>
      <c r="F13" s="494"/>
      <c r="G13" s="494"/>
      <c r="H13" s="494"/>
      <c r="I13" s="494"/>
    </row>
    <row r="14" spans="1:9" x14ac:dyDescent="0.25">
      <c r="A14" s="494"/>
      <c r="B14" s="494"/>
      <c r="C14" s="494"/>
      <c r="D14" s="494"/>
      <c r="E14" s="494"/>
      <c r="F14" s="494"/>
      <c r="G14" s="494"/>
      <c r="H14" s="494"/>
      <c r="I14" s="494"/>
    </row>
    <row r="15" spans="1:9" ht="19.5" customHeight="1" x14ac:dyDescent="0.3">
      <c r="A15" s="51"/>
    </row>
    <row r="16" spans="1:9" ht="19.5" customHeight="1" x14ac:dyDescent="0.3">
      <c r="A16" s="502" t="s">
        <v>30</v>
      </c>
      <c r="B16" s="503"/>
      <c r="C16" s="503"/>
      <c r="D16" s="503"/>
      <c r="E16" s="503"/>
      <c r="F16" s="503"/>
      <c r="G16" s="503"/>
      <c r="H16" s="504"/>
    </row>
    <row r="17" spans="1:14" ht="20.25" customHeight="1" x14ac:dyDescent="0.25">
      <c r="A17" s="505" t="s">
        <v>46</v>
      </c>
      <c r="B17" s="505"/>
      <c r="C17" s="505"/>
      <c r="D17" s="505"/>
      <c r="E17" s="505"/>
      <c r="F17" s="505"/>
      <c r="G17" s="505"/>
      <c r="H17" s="505"/>
    </row>
    <row r="18" spans="1:14" ht="26.25" customHeight="1" x14ac:dyDescent="0.4">
      <c r="A18" s="53" t="s">
        <v>32</v>
      </c>
      <c r="B18" s="501" t="s">
        <v>5</v>
      </c>
      <c r="C18" s="501"/>
      <c r="D18" s="209"/>
      <c r="E18" s="54"/>
      <c r="F18" s="55"/>
      <c r="G18" s="55"/>
      <c r="H18" s="55"/>
    </row>
    <row r="19" spans="1:14" ht="26.25" customHeight="1" x14ac:dyDescent="0.4">
      <c r="A19" s="53" t="s">
        <v>33</v>
      </c>
      <c r="B19" s="56" t="s">
        <v>7</v>
      </c>
      <c r="C19" s="222">
        <v>1</v>
      </c>
      <c r="D19" s="55"/>
      <c r="E19" s="55"/>
      <c r="F19" s="55"/>
      <c r="G19" s="55"/>
      <c r="H19" s="55"/>
    </row>
    <row r="20" spans="1:14" ht="26.25" customHeight="1" x14ac:dyDescent="0.4">
      <c r="A20" s="53" t="s">
        <v>34</v>
      </c>
      <c r="B20" s="506" t="s">
        <v>9</v>
      </c>
      <c r="C20" s="506"/>
      <c r="D20" s="55"/>
      <c r="E20" s="55"/>
      <c r="F20" s="55"/>
      <c r="G20" s="55"/>
      <c r="H20" s="55"/>
    </row>
    <row r="21" spans="1:14" ht="26.25" customHeight="1" x14ac:dyDescent="0.4">
      <c r="A21" s="53" t="s">
        <v>35</v>
      </c>
      <c r="B21" s="506" t="s">
        <v>11</v>
      </c>
      <c r="C21" s="506"/>
      <c r="D21" s="506"/>
      <c r="E21" s="506"/>
      <c r="F21" s="506"/>
      <c r="G21" s="506"/>
      <c r="H21" s="506"/>
      <c r="I21" s="57"/>
    </row>
    <row r="22" spans="1:14" ht="26.25" customHeight="1" x14ac:dyDescent="0.4">
      <c r="A22" s="53" t="s">
        <v>36</v>
      </c>
      <c r="B22" s="58" t="s">
        <v>138</v>
      </c>
      <c r="C22" s="55"/>
      <c r="D22" s="55"/>
      <c r="E22" s="55"/>
      <c r="F22" s="55"/>
      <c r="G22" s="55"/>
      <c r="H22" s="55"/>
    </row>
    <row r="23" spans="1:14" ht="26.25" customHeight="1" x14ac:dyDescent="0.4">
      <c r="A23" s="53" t="s">
        <v>37</v>
      </c>
      <c r="B23" s="58" t="s">
        <v>137</v>
      </c>
      <c r="C23" s="55"/>
      <c r="D23" s="55"/>
      <c r="E23" s="55"/>
      <c r="F23" s="55"/>
      <c r="G23" s="55"/>
      <c r="H23" s="55"/>
    </row>
    <row r="24" spans="1:14" ht="18.75" x14ac:dyDescent="0.3">
      <c r="A24" s="53"/>
      <c r="B24" s="59"/>
    </row>
    <row r="25" spans="1:14" ht="18.75" x14ac:dyDescent="0.3">
      <c r="A25" s="60" t="s">
        <v>1</v>
      </c>
      <c r="B25" s="59"/>
    </row>
    <row r="26" spans="1:14" ht="26.25" customHeight="1" x14ac:dyDescent="0.4">
      <c r="A26" s="61" t="s">
        <v>4</v>
      </c>
      <c r="B26" s="501" t="s">
        <v>135</v>
      </c>
      <c r="C26" s="501"/>
    </row>
    <row r="27" spans="1:14" ht="26.25" customHeight="1" x14ac:dyDescent="0.4">
      <c r="A27" s="62" t="s">
        <v>47</v>
      </c>
      <c r="B27" s="498" t="s">
        <v>136</v>
      </c>
      <c r="C27" s="498"/>
    </row>
    <row r="28" spans="1:14" ht="27" customHeight="1" x14ac:dyDescent="0.4">
      <c r="A28" s="62" t="s">
        <v>6</v>
      </c>
      <c r="B28" s="63">
        <v>100.2</v>
      </c>
    </row>
    <row r="29" spans="1:14" s="4" customFormat="1" ht="27" customHeight="1" x14ac:dyDescent="0.4">
      <c r="A29" s="62" t="s">
        <v>48</v>
      </c>
      <c r="B29" s="64"/>
      <c r="C29" s="467" t="s">
        <v>49</v>
      </c>
      <c r="D29" s="468"/>
      <c r="E29" s="468"/>
      <c r="F29" s="468"/>
      <c r="G29" s="469"/>
      <c r="I29" s="65"/>
      <c r="J29" s="65"/>
      <c r="K29" s="65"/>
      <c r="L29" s="65"/>
    </row>
    <row r="30" spans="1:14" s="4" customFormat="1" ht="19.5" customHeight="1" x14ac:dyDescent="0.3">
      <c r="A30" s="62" t="s">
        <v>50</v>
      </c>
      <c r="B30" s="66">
        <f>B28-B29</f>
        <v>100.2</v>
      </c>
      <c r="C30" s="67"/>
      <c r="D30" s="67"/>
      <c r="E30" s="67"/>
      <c r="F30" s="67"/>
      <c r="G30" s="68"/>
      <c r="I30" s="65"/>
      <c r="J30" s="65"/>
      <c r="K30" s="65"/>
      <c r="L30" s="65"/>
    </row>
    <row r="31" spans="1:14" s="4" customFormat="1" ht="27" customHeight="1" x14ac:dyDescent="0.4">
      <c r="A31" s="62" t="s">
        <v>51</v>
      </c>
      <c r="B31" s="69">
        <v>1</v>
      </c>
      <c r="C31" s="472" t="s">
        <v>52</v>
      </c>
      <c r="D31" s="473"/>
      <c r="E31" s="473"/>
      <c r="F31" s="473"/>
      <c r="G31" s="473"/>
      <c r="H31" s="474"/>
      <c r="I31" s="65"/>
      <c r="J31" s="65"/>
      <c r="K31" s="65"/>
      <c r="L31" s="65"/>
    </row>
    <row r="32" spans="1:14" s="4" customFormat="1" ht="27" customHeight="1" x14ac:dyDescent="0.4">
      <c r="A32" s="62" t="s">
        <v>53</v>
      </c>
      <c r="B32" s="69">
        <v>1</v>
      </c>
      <c r="C32" s="472" t="s">
        <v>54</v>
      </c>
      <c r="D32" s="473"/>
      <c r="E32" s="473"/>
      <c r="F32" s="473"/>
      <c r="G32" s="473"/>
      <c r="H32" s="474"/>
      <c r="I32" s="65"/>
      <c r="J32" s="65"/>
      <c r="K32" s="65"/>
      <c r="L32" s="70"/>
      <c r="M32" s="70"/>
      <c r="N32" s="71"/>
    </row>
    <row r="33" spans="1:14" s="4" customFormat="1" ht="17.25" customHeight="1" x14ac:dyDescent="0.3">
      <c r="A33" s="62"/>
      <c r="B33" s="72"/>
      <c r="C33" s="73"/>
      <c r="D33" s="73"/>
      <c r="E33" s="73"/>
      <c r="F33" s="73"/>
      <c r="G33" s="73"/>
      <c r="H33" s="73"/>
      <c r="I33" s="65"/>
      <c r="J33" s="65"/>
      <c r="K33" s="65"/>
      <c r="L33" s="70"/>
      <c r="M33" s="70"/>
      <c r="N33" s="71"/>
    </row>
    <row r="34" spans="1:14" s="4" customFormat="1" ht="18.75" x14ac:dyDescent="0.3">
      <c r="A34" s="62" t="s">
        <v>55</v>
      </c>
      <c r="B34" s="74">
        <f>B31/B32</f>
        <v>1</v>
      </c>
      <c r="C34" s="52" t="s">
        <v>56</v>
      </c>
      <c r="D34" s="52"/>
      <c r="E34" s="52"/>
      <c r="F34" s="52"/>
      <c r="G34" s="52"/>
      <c r="I34" s="65"/>
      <c r="J34" s="65"/>
      <c r="K34" s="65"/>
      <c r="L34" s="70"/>
      <c r="M34" s="70"/>
      <c r="N34" s="71"/>
    </row>
    <row r="35" spans="1:14" s="4" customFormat="1" ht="19.5" customHeight="1" x14ac:dyDescent="0.3">
      <c r="A35" s="62"/>
      <c r="B35" s="66"/>
      <c r="G35" s="52"/>
      <c r="I35" s="65"/>
      <c r="J35" s="65"/>
      <c r="K35" s="65"/>
      <c r="L35" s="70"/>
      <c r="M35" s="70"/>
      <c r="N35" s="71"/>
    </row>
    <row r="36" spans="1:14" s="4" customFormat="1" ht="27" customHeight="1" x14ac:dyDescent="0.4">
      <c r="A36" s="75" t="s">
        <v>57</v>
      </c>
      <c r="B36" s="76">
        <v>50</v>
      </c>
      <c r="C36" s="52"/>
      <c r="D36" s="470" t="s">
        <v>58</v>
      </c>
      <c r="E36" s="482"/>
      <c r="F36" s="470" t="s">
        <v>59</v>
      </c>
      <c r="G36" s="471"/>
      <c r="J36" s="65"/>
      <c r="K36" s="65"/>
      <c r="L36" s="70"/>
      <c r="M36" s="70"/>
      <c r="N36" s="71"/>
    </row>
    <row r="37" spans="1:14" s="4" customFormat="1" ht="27" customHeight="1" x14ac:dyDescent="0.4">
      <c r="A37" s="77" t="s">
        <v>60</v>
      </c>
      <c r="B37" s="78">
        <v>4</v>
      </c>
      <c r="C37" s="79" t="s">
        <v>61</v>
      </c>
      <c r="D37" s="80" t="s">
        <v>62</v>
      </c>
      <c r="E37" s="81" t="s">
        <v>63</v>
      </c>
      <c r="F37" s="80" t="s">
        <v>62</v>
      </c>
      <c r="G37" s="82" t="s">
        <v>63</v>
      </c>
      <c r="I37" s="83" t="s">
        <v>64</v>
      </c>
      <c r="J37" s="65"/>
      <c r="K37" s="65"/>
      <c r="L37" s="70"/>
      <c r="M37" s="70"/>
      <c r="N37" s="71"/>
    </row>
    <row r="38" spans="1:14" s="4" customFormat="1" ht="26.25" customHeight="1" x14ac:dyDescent="0.4">
      <c r="A38" s="77" t="s">
        <v>65</v>
      </c>
      <c r="B38" s="78">
        <v>20</v>
      </c>
      <c r="C38" s="84">
        <v>1</v>
      </c>
      <c r="D38" s="397">
        <v>7634985</v>
      </c>
      <c r="E38" s="319">
        <f>IF(ISBLANK(D38),"-",$D$48/$D$45*D38)</f>
        <v>7871637.9225021033</v>
      </c>
      <c r="F38" s="375">
        <v>9673668</v>
      </c>
      <c r="G38" s="322">
        <f>IF(ISBLANK(F38),"-",$D$48/$F$45*F38)</f>
        <v>8072206.7570544509</v>
      </c>
      <c r="I38" s="88"/>
      <c r="J38" s="65"/>
      <c r="K38" s="65"/>
      <c r="L38" s="70"/>
      <c r="M38" s="70"/>
      <c r="N38" s="71"/>
    </row>
    <row r="39" spans="1:14" s="4" customFormat="1" ht="26.25" customHeight="1" x14ac:dyDescent="0.4">
      <c r="A39" s="77" t="s">
        <v>66</v>
      </c>
      <c r="B39" s="78">
        <v>1</v>
      </c>
      <c r="C39" s="89">
        <v>2</v>
      </c>
      <c r="D39" s="397">
        <v>7667532</v>
      </c>
      <c r="E39" s="320">
        <f>IF(ISBLANK(D39),"-",$D$48/$D$45*D39)</f>
        <v>7905193.7447419204</v>
      </c>
      <c r="F39" s="375">
        <v>9652197</v>
      </c>
      <c r="G39" s="323">
        <f>IF(ISBLANK(F39),"-",$D$48/$F$45*F39)</f>
        <v>8054290.2489335686</v>
      </c>
      <c r="I39" s="500">
        <f>ABS((F43/D43*D42)-F42)/D42</f>
        <v>2.5616791114759757E-2</v>
      </c>
      <c r="J39" s="65"/>
      <c r="K39" s="65"/>
      <c r="L39" s="70"/>
      <c r="M39" s="70"/>
      <c r="N39" s="71"/>
    </row>
    <row r="40" spans="1:14" ht="26.25" customHeight="1" x14ac:dyDescent="0.4">
      <c r="A40" s="77" t="s">
        <v>67</v>
      </c>
      <c r="B40" s="78">
        <v>1</v>
      </c>
      <c r="C40" s="89">
        <v>3</v>
      </c>
      <c r="D40" s="397">
        <v>7678672</v>
      </c>
      <c r="E40" s="320">
        <f>IF(ISBLANK(D40),"-",$D$48/$D$45*D40)</f>
        <v>7916679.0386169804</v>
      </c>
      <c r="F40" s="375">
        <v>9656953</v>
      </c>
      <c r="G40" s="323">
        <f>IF(ISBLANK(F40),"-",$D$48/$F$45*F40)</f>
        <v>8058258.9002596792</v>
      </c>
      <c r="I40" s="500"/>
      <c r="L40" s="70"/>
      <c r="M40" s="70"/>
      <c r="N40" s="93"/>
    </row>
    <row r="41" spans="1:14" ht="27" customHeight="1" x14ac:dyDescent="0.4">
      <c r="A41" s="77" t="s">
        <v>68</v>
      </c>
      <c r="B41" s="78">
        <v>1</v>
      </c>
      <c r="C41" s="94">
        <v>4</v>
      </c>
      <c r="D41" s="397"/>
      <c r="E41" s="321" t="str">
        <f>IF(ISBLANK(D41),"-",$D$48/$D$45*D41)</f>
        <v>-</v>
      </c>
      <c r="F41" s="375"/>
      <c r="G41" s="324" t="str">
        <f>IF(ISBLANK(F41),"-",$D$48/$F$45*F41)</f>
        <v>-</v>
      </c>
      <c r="I41" s="98"/>
      <c r="L41" s="70"/>
      <c r="M41" s="70"/>
      <c r="N41" s="93"/>
    </row>
    <row r="42" spans="1:14" ht="27" customHeight="1" x14ac:dyDescent="0.4">
      <c r="A42" s="77" t="s">
        <v>69</v>
      </c>
      <c r="B42" s="78">
        <v>1</v>
      </c>
      <c r="C42" s="99" t="s">
        <v>70</v>
      </c>
      <c r="D42" s="254">
        <f>AVERAGE(D38:D41)</f>
        <v>7660396.333333333</v>
      </c>
      <c r="E42" s="278">
        <f>AVERAGE(E38:E41)</f>
        <v>7897836.9019536683</v>
      </c>
      <c r="F42" s="254">
        <f>AVERAGE(F38:F41)</f>
        <v>9660939.333333334</v>
      </c>
      <c r="G42" s="255">
        <f>AVERAGE(G38:G41)</f>
        <v>8061585.3020825656</v>
      </c>
      <c r="H42" s="101"/>
    </row>
    <row r="43" spans="1:14" ht="26.25" customHeight="1" x14ac:dyDescent="0.4">
      <c r="A43" s="77" t="s">
        <v>71</v>
      </c>
      <c r="B43" s="78">
        <v>1</v>
      </c>
      <c r="C43" s="102" t="s">
        <v>72</v>
      </c>
      <c r="D43" s="378">
        <v>14.52</v>
      </c>
      <c r="E43" s="368"/>
      <c r="F43" s="378">
        <v>17.940000000000001</v>
      </c>
      <c r="G43" s="338"/>
      <c r="H43" s="101"/>
    </row>
    <row r="44" spans="1:14" ht="26.25" customHeight="1" x14ac:dyDescent="0.4">
      <c r="A44" s="77" t="s">
        <v>73</v>
      </c>
      <c r="B44" s="78">
        <v>1</v>
      </c>
      <c r="C44" s="104" t="s">
        <v>74</v>
      </c>
      <c r="D44" s="105">
        <f>D43*$B$34</f>
        <v>14.52</v>
      </c>
      <c r="E44" s="106"/>
      <c r="F44" s="105">
        <f>F43*$B$34</f>
        <v>17.940000000000001</v>
      </c>
      <c r="H44" s="101"/>
    </row>
    <row r="45" spans="1:14" ht="19.5" customHeight="1" x14ac:dyDescent="0.3">
      <c r="A45" s="77" t="s">
        <v>75</v>
      </c>
      <c r="B45" s="107">
        <f>(B44/B43)*(B42/B41)*(B40/B39)*(B38/B37)*B36</f>
        <v>250</v>
      </c>
      <c r="C45" s="104" t="s">
        <v>76</v>
      </c>
      <c r="D45" s="108">
        <f>D44*$B$30/100</f>
        <v>14.54904</v>
      </c>
      <c r="E45" s="109"/>
      <c r="F45" s="108">
        <f>F44*$B$30/100</f>
        <v>17.975880000000004</v>
      </c>
      <c r="H45" s="101"/>
    </row>
    <row r="46" spans="1:14" ht="19.5" customHeight="1" x14ac:dyDescent="0.3">
      <c r="A46" s="483" t="s">
        <v>77</v>
      </c>
      <c r="B46" s="484"/>
      <c r="C46" s="104" t="s">
        <v>78</v>
      </c>
      <c r="D46" s="110">
        <f>D45/$B$45</f>
        <v>5.8196159999999997E-2</v>
      </c>
      <c r="E46" s="111"/>
      <c r="F46" s="112">
        <f>F45/$B$45</f>
        <v>7.1903520000000012E-2</v>
      </c>
      <c r="H46" s="101"/>
    </row>
    <row r="47" spans="1:14" ht="27" customHeight="1" x14ac:dyDescent="0.4">
      <c r="A47" s="485"/>
      <c r="B47" s="486"/>
      <c r="C47" s="113" t="s">
        <v>79</v>
      </c>
      <c r="D47" s="114">
        <v>0.06</v>
      </c>
      <c r="E47" s="115"/>
      <c r="F47" s="111"/>
      <c r="H47" s="101"/>
    </row>
    <row r="48" spans="1:14" ht="18.75" x14ac:dyDescent="0.3">
      <c r="C48" s="116" t="s">
        <v>80</v>
      </c>
      <c r="D48" s="108">
        <f>D47*$B$45</f>
        <v>15</v>
      </c>
      <c r="F48" s="117"/>
      <c r="H48" s="101"/>
    </row>
    <row r="49" spans="1:12" ht="19.5" customHeight="1" x14ac:dyDescent="0.3">
      <c r="C49" s="118" t="s">
        <v>81</v>
      </c>
      <c r="D49" s="119">
        <f>D48/B34</f>
        <v>15</v>
      </c>
      <c r="F49" s="117"/>
      <c r="H49" s="101"/>
    </row>
    <row r="50" spans="1:12" ht="18.75" x14ac:dyDescent="0.3">
      <c r="C50" s="75" t="s">
        <v>82</v>
      </c>
      <c r="D50" s="120">
        <f>AVERAGE(E38:E41,G38:G41)</f>
        <v>7979711.1020181179</v>
      </c>
      <c r="F50" s="121"/>
      <c r="H50" s="101"/>
    </row>
    <row r="51" spans="1:12" ht="18.75" x14ac:dyDescent="0.3">
      <c r="C51" s="77" t="s">
        <v>83</v>
      </c>
      <c r="D51" s="122">
        <f>STDEV(E38:E41,G38:G41)/D50</f>
        <v>1.1416025811954087E-2</v>
      </c>
      <c r="F51" s="121"/>
      <c r="H51" s="101"/>
    </row>
    <row r="52" spans="1:12" ht="19.5" customHeight="1" x14ac:dyDescent="0.3">
      <c r="C52" s="123" t="s">
        <v>19</v>
      </c>
      <c r="D52" s="124">
        <f>COUNT(E38:E41,G38:G41)</f>
        <v>6</v>
      </c>
      <c r="F52" s="121"/>
    </row>
    <row r="54" spans="1:12" ht="18.75" x14ac:dyDescent="0.3">
      <c r="A54" s="125" t="s">
        <v>1</v>
      </c>
      <c r="B54" s="126" t="s">
        <v>84</v>
      </c>
    </row>
    <row r="55" spans="1:12" ht="18.75" x14ac:dyDescent="0.3">
      <c r="A55" s="52" t="s">
        <v>85</v>
      </c>
      <c r="B55" s="127" t="str">
        <f>B21</f>
        <v>Artemether 80 mg + Lumefantrine 480 mg per caplet</v>
      </c>
    </row>
    <row r="56" spans="1:12" ht="26.25" customHeight="1" x14ac:dyDescent="0.4">
      <c r="A56" s="128" t="s">
        <v>86</v>
      </c>
      <c r="B56" s="129">
        <v>480</v>
      </c>
      <c r="C56" s="52" t="str">
        <f>B26</f>
        <v>LUMEFANTRINE</v>
      </c>
      <c r="H56" s="130"/>
    </row>
    <row r="57" spans="1:12" ht="18.75" x14ac:dyDescent="0.3">
      <c r="A57" s="127" t="s">
        <v>87</v>
      </c>
      <c r="B57" s="210">
        <f>Uniformity!C46</f>
        <v>749.47399999999993</v>
      </c>
      <c r="H57" s="130"/>
    </row>
    <row r="58" spans="1:12" ht="19.5" customHeight="1" x14ac:dyDescent="0.3">
      <c r="H58" s="130"/>
    </row>
    <row r="59" spans="1:12" s="4" customFormat="1" ht="27" customHeight="1" x14ac:dyDescent="0.4">
      <c r="A59" s="75" t="s">
        <v>88</v>
      </c>
      <c r="B59" s="76">
        <v>100</v>
      </c>
      <c r="C59" s="52"/>
      <c r="D59" s="131" t="s">
        <v>89</v>
      </c>
      <c r="E59" s="132" t="s">
        <v>61</v>
      </c>
      <c r="F59" s="132" t="s">
        <v>62</v>
      </c>
      <c r="G59" s="132" t="s">
        <v>90</v>
      </c>
      <c r="H59" s="79" t="s">
        <v>91</v>
      </c>
      <c r="L59" s="65"/>
    </row>
    <row r="60" spans="1:12" s="4" customFormat="1" ht="26.25" customHeight="1" x14ac:dyDescent="0.4">
      <c r="A60" s="77" t="s">
        <v>92</v>
      </c>
      <c r="B60" s="78">
        <v>2</v>
      </c>
      <c r="C60" s="475" t="s">
        <v>93</v>
      </c>
      <c r="D60" s="479">
        <v>90.04</v>
      </c>
      <c r="E60" s="271">
        <v>1</v>
      </c>
      <c r="F60" s="381">
        <v>7560951</v>
      </c>
      <c r="G60" s="211">
        <f>IF(ISBLANK(F60),"-",(F60/$D$50*$D$47*$B$68)*($B$57/$D$60))</f>
        <v>473.21836482541602</v>
      </c>
      <c r="H60" s="133">
        <f t="shared" ref="H60:H71" si="0">IF(ISBLANK(F60),"-",G60/$B$56)</f>
        <v>0.98587159338628338</v>
      </c>
      <c r="L60" s="65"/>
    </row>
    <row r="61" spans="1:12" s="4" customFormat="1" ht="26.25" customHeight="1" x14ac:dyDescent="0.4">
      <c r="A61" s="77" t="s">
        <v>94</v>
      </c>
      <c r="B61" s="78">
        <v>20</v>
      </c>
      <c r="C61" s="476"/>
      <c r="D61" s="480"/>
      <c r="E61" s="272">
        <v>2</v>
      </c>
      <c r="F61" s="376">
        <v>7569910</v>
      </c>
      <c r="G61" s="212">
        <f>IF(ISBLANK(F61),"-",(F61/$D$50*$D$47*$B$68)*($B$57/$D$60))</f>
        <v>473.77908309094511</v>
      </c>
      <c r="H61" s="134">
        <f t="shared" si="0"/>
        <v>0.98703975643946895</v>
      </c>
      <c r="L61" s="65"/>
    </row>
    <row r="62" spans="1:12" s="4" customFormat="1" ht="26.25" customHeight="1" x14ac:dyDescent="0.4">
      <c r="A62" s="77" t="s">
        <v>95</v>
      </c>
      <c r="B62" s="78">
        <v>1</v>
      </c>
      <c r="C62" s="476"/>
      <c r="D62" s="480"/>
      <c r="E62" s="272">
        <v>3</v>
      </c>
      <c r="F62" s="135">
        <v>7579369</v>
      </c>
      <c r="G62" s="212">
        <f>IF(ISBLANK(F62),"-",(F62/$D$50*$D$47*$B$68)*($B$57/$D$60))</f>
        <v>474.37109493084256</v>
      </c>
      <c r="H62" s="134">
        <f t="shared" si="0"/>
        <v>0.98827311443925536</v>
      </c>
      <c r="L62" s="65"/>
    </row>
    <row r="63" spans="1:12" ht="27" customHeight="1" x14ac:dyDescent="0.4">
      <c r="A63" s="77" t="s">
        <v>96</v>
      </c>
      <c r="B63" s="78">
        <v>1</v>
      </c>
      <c r="C63" s="477"/>
      <c r="D63" s="481"/>
      <c r="E63" s="273">
        <v>4</v>
      </c>
      <c r="F63" s="382"/>
      <c r="G63" s="212" t="str">
        <f>IF(ISBLANK(F63),"-",(F63/$D$50*$D$47*$B$68)*($B$57/$D$60))</f>
        <v>-</v>
      </c>
      <c r="H63" s="134" t="str">
        <f t="shared" si="0"/>
        <v>-</v>
      </c>
    </row>
    <row r="64" spans="1:12" ht="26.25" customHeight="1" x14ac:dyDescent="0.4">
      <c r="A64" s="77" t="s">
        <v>97</v>
      </c>
      <c r="B64" s="78">
        <v>1</v>
      </c>
      <c r="C64" s="475" t="s">
        <v>98</v>
      </c>
      <c r="D64" s="479">
        <v>88.99</v>
      </c>
      <c r="E64" s="271">
        <v>1</v>
      </c>
      <c r="F64" s="381">
        <v>7314830</v>
      </c>
      <c r="G64" s="213">
        <f>IF(ISBLANK(F64),"-",(F64/$D$50*$D$47*$B$68)*($B$57/$D$64))</f>
        <v>463.2161407050466</v>
      </c>
      <c r="H64" s="136">
        <f t="shared" si="0"/>
        <v>0.96503362646884705</v>
      </c>
    </row>
    <row r="65" spans="1:8" ht="26.25" customHeight="1" x14ac:dyDescent="0.4">
      <c r="A65" s="77" t="s">
        <v>99</v>
      </c>
      <c r="B65" s="78">
        <v>1</v>
      </c>
      <c r="C65" s="476"/>
      <c r="D65" s="480"/>
      <c r="E65" s="272">
        <v>2</v>
      </c>
      <c r="F65" s="376">
        <v>7314974</v>
      </c>
      <c r="G65" s="214">
        <f>IF(ISBLANK(F65),"-",(F65/$D$50*$D$47*$B$68)*($B$57/$D$64))</f>
        <v>463.22525959424314</v>
      </c>
      <c r="H65" s="137">
        <f t="shared" si="0"/>
        <v>0.96505262415467319</v>
      </c>
    </row>
    <row r="66" spans="1:8" ht="26.25" customHeight="1" x14ac:dyDescent="0.4">
      <c r="A66" s="77" t="s">
        <v>100</v>
      </c>
      <c r="B66" s="78">
        <v>1</v>
      </c>
      <c r="C66" s="476"/>
      <c r="D66" s="480"/>
      <c r="E66" s="272">
        <v>3</v>
      </c>
      <c r="F66" s="376">
        <v>7314407</v>
      </c>
      <c r="G66" s="214">
        <f>IF(ISBLANK(F66),"-",(F66/$D$50*$D$47*$B$68)*($B$57/$D$64))</f>
        <v>463.18935396803175</v>
      </c>
      <c r="H66" s="137">
        <f t="shared" si="0"/>
        <v>0.96497782076673277</v>
      </c>
    </row>
    <row r="67" spans="1:8" ht="27" customHeight="1" x14ac:dyDescent="0.4">
      <c r="A67" s="77" t="s">
        <v>101</v>
      </c>
      <c r="B67" s="78">
        <v>1</v>
      </c>
      <c r="C67" s="477"/>
      <c r="D67" s="481"/>
      <c r="E67" s="273">
        <v>4</v>
      </c>
      <c r="F67" s="382"/>
      <c r="G67" s="215" t="str">
        <f>IF(ISBLANK(F67),"-",(F67/$D$50*$D$47*$B$68)*($B$57/$D$64))</f>
        <v>-</v>
      </c>
      <c r="H67" s="138" t="str">
        <f t="shared" si="0"/>
        <v>-</v>
      </c>
    </row>
    <row r="68" spans="1:8" ht="26.25" customHeight="1" x14ac:dyDescent="0.4">
      <c r="A68" s="77" t="s">
        <v>102</v>
      </c>
      <c r="B68" s="139">
        <f>(B67/B66)*(B65/B64)*(B63/B62)*(B61/B60)*B59</f>
        <v>1000</v>
      </c>
      <c r="C68" s="475" t="s">
        <v>103</v>
      </c>
      <c r="D68" s="479">
        <v>91.03</v>
      </c>
      <c r="E68" s="271">
        <v>1</v>
      </c>
      <c r="F68" s="381">
        <v>7479559</v>
      </c>
      <c r="G68" s="213">
        <f>IF(ISBLANK(F68),"-",(F68/$D$50*$D$47*$B$68)*($B$57/$D$68))</f>
        <v>463.033169463435</v>
      </c>
      <c r="H68" s="134">
        <f t="shared" si="0"/>
        <v>0.96465243638215625</v>
      </c>
    </row>
    <row r="69" spans="1:8" ht="27" customHeight="1" x14ac:dyDescent="0.4">
      <c r="A69" s="123" t="s">
        <v>104</v>
      </c>
      <c r="B69" s="140">
        <f>(D47*B68)/B56*B57</f>
        <v>93.684249999999992</v>
      </c>
      <c r="C69" s="476"/>
      <c r="D69" s="480"/>
      <c r="E69" s="272">
        <v>2</v>
      </c>
      <c r="F69" s="376">
        <v>7500664</v>
      </c>
      <c r="G69" s="214">
        <f>IF(ISBLANK(F69),"-",(F69/$D$50*$D$47*$B$68)*($B$57/$D$68))</f>
        <v>464.33970572333033</v>
      </c>
      <c r="H69" s="134">
        <f t="shared" si="0"/>
        <v>0.96737438692360489</v>
      </c>
    </row>
    <row r="70" spans="1:8" ht="26.25" customHeight="1" x14ac:dyDescent="0.4">
      <c r="A70" s="489" t="s">
        <v>77</v>
      </c>
      <c r="B70" s="490"/>
      <c r="C70" s="476"/>
      <c r="D70" s="480"/>
      <c r="E70" s="272">
        <v>3</v>
      </c>
      <c r="F70" s="376">
        <v>7504809</v>
      </c>
      <c r="G70" s="214">
        <f>IF(ISBLANK(F70),"-",(F70/$D$50*$D$47*$B$68)*($B$57/$D$68))</f>
        <v>464.59630808283111</v>
      </c>
      <c r="H70" s="134">
        <f t="shared" si="0"/>
        <v>0.9679089751725648</v>
      </c>
    </row>
    <row r="71" spans="1:8" ht="27" customHeight="1" x14ac:dyDescent="0.4">
      <c r="A71" s="491"/>
      <c r="B71" s="492"/>
      <c r="C71" s="478"/>
      <c r="D71" s="481"/>
      <c r="E71" s="273">
        <v>4</v>
      </c>
      <c r="F71" s="382"/>
      <c r="G71" s="215" t="str">
        <f>IF(ISBLANK(F71),"-",(F71/$D$50*$D$47*$B$68)*($B$57/$D$68))</f>
        <v>-</v>
      </c>
      <c r="H71" s="141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70</v>
      </c>
      <c r="G72" s="220">
        <f>AVERAGE(G60:G71)</f>
        <v>466.99649782045799</v>
      </c>
      <c r="H72" s="145">
        <f>AVERAGE(H60:H71)</f>
        <v>0.97290937045928727</v>
      </c>
    </row>
    <row r="73" spans="1:8" ht="26.25" customHeight="1" x14ac:dyDescent="0.4">
      <c r="C73" s="142"/>
      <c r="D73" s="142"/>
      <c r="E73" s="142"/>
      <c r="F73" s="146" t="s">
        <v>83</v>
      </c>
      <c r="G73" s="216">
        <f>STDEV(G60:G71)/G72</f>
        <v>1.0987693364244188E-2</v>
      </c>
      <c r="H73" s="216">
        <f>STDEV(H60:H71)/H72</f>
        <v>1.0987693364244202E-2</v>
      </c>
    </row>
    <row r="74" spans="1:8" ht="27" customHeight="1" x14ac:dyDescent="0.4">
      <c r="A74" s="142"/>
      <c r="B74" s="142"/>
      <c r="C74" s="143"/>
      <c r="D74" s="143"/>
      <c r="E74" s="147"/>
      <c r="F74" s="148" t="s">
        <v>19</v>
      </c>
      <c r="G74" s="149">
        <f>COUNT(G60:G71)</f>
        <v>9</v>
      </c>
      <c r="H74" s="149">
        <f>COUNT(H60:H71)</f>
        <v>9</v>
      </c>
    </row>
    <row r="76" spans="1:8" ht="26.25" customHeight="1" x14ac:dyDescent="0.4">
      <c r="A76" s="61" t="s">
        <v>105</v>
      </c>
      <c r="B76" s="150" t="s">
        <v>106</v>
      </c>
      <c r="C76" s="465" t="str">
        <f>C56</f>
        <v>LUMEFANTRINE</v>
      </c>
      <c r="D76" s="465"/>
      <c r="E76" s="151" t="s">
        <v>107</v>
      </c>
      <c r="F76" s="151"/>
      <c r="G76" s="152">
        <f>H72</f>
        <v>0.97290937045928727</v>
      </c>
      <c r="H76" s="153"/>
    </row>
    <row r="77" spans="1:8" ht="18.75" x14ac:dyDescent="0.3">
      <c r="A77" s="60" t="s">
        <v>108</v>
      </c>
      <c r="B77" s="60" t="s">
        <v>109</v>
      </c>
    </row>
    <row r="78" spans="1:8" ht="18.75" x14ac:dyDescent="0.3">
      <c r="A78" s="60"/>
      <c r="B78" s="60"/>
    </row>
    <row r="79" spans="1:8" ht="26.25" customHeight="1" x14ac:dyDescent="0.4">
      <c r="A79" s="61" t="s">
        <v>4</v>
      </c>
      <c r="B79" s="498" t="str">
        <f>B26</f>
        <v>LUMEFANTRINE</v>
      </c>
      <c r="C79" s="498"/>
    </row>
    <row r="80" spans="1:8" ht="26.25" customHeight="1" x14ac:dyDescent="0.4">
      <c r="A80" s="62" t="s">
        <v>47</v>
      </c>
      <c r="B80" s="498" t="str">
        <f>B27</f>
        <v>WS/14/046</v>
      </c>
      <c r="C80" s="498"/>
    </row>
    <row r="81" spans="1:12" ht="27" customHeight="1" x14ac:dyDescent="0.4">
      <c r="A81" s="62" t="s">
        <v>6</v>
      </c>
      <c r="B81" s="154">
        <f>B28</f>
        <v>100.2</v>
      </c>
    </row>
    <row r="82" spans="1:12" s="4" customFormat="1" ht="27" customHeight="1" x14ac:dyDescent="0.4">
      <c r="A82" s="62" t="s">
        <v>48</v>
      </c>
      <c r="B82" s="64">
        <v>0</v>
      </c>
      <c r="C82" s="467" t="s">
        <v>49</v>
      </c>
      <c r="D82" s="468"/>
      <c r="E82" s="468"/>
      <c r="F82" s="468"/>
      <c r="G82" s="469"/>
      <c r="I82" s="65"/>
      <c r="J82" s="65"/>
      <c r="K82" s="65"/>
      <c r="L82" s="65"/>
    </row>
    <row r="83" spans="1:12" s="4" customFormat="1" ht="19.5" customHeight="1" x14ac:dyDescent="0.3">
      <c r="A83" s="62" t="s">
        <v>50</v>
      </c>
      <c r="B83" s="66">
        <f>B81-B82</f>
        <v>100.2</v>
      </c>
      <c r="C83" s="67"/>
      <c r="D83" s="67"/>
      <c r="E83" s="67"/>
      <c r="F83" s="67"/>
      <c r="G83" s="68"/>
      <c r="I83" s="65"/>
      <c r="J83" s="65"/>
      <c r="K83" s="65"/>
      <c r="L83" s="65"/>
    </row>
    <row r="84" spans="1:12" s="4" customFormat="1" ht="27" customHeight="1" x14ac:dyDescent="0.4">
      <c r="A84" s="62" t="s">
        <v>51</v>
      </c>
      <c r="B84" s="69">
        <v>1</v>
      </c>
      <c r="C84" s="472" t="s">
        <v>110</v>
      </c>
      <c r="D84" s="473"/>
      <c r="E84" s="473"/>
      <c r="F84" s="473"/>
      <c r="G84" s="473"/>
      <c r="H84" s="474"/>
      <c r="I84" s="65"/>
      <c r="J84" s="65"/>
      <c r="K84" s="65"/>
      <c r="L84" s="65"/>
    </row>
    <row r="85" spans="1:12" s="4" customFormat="1" ht="27" customHeight="1" x14ac:dyDescent="0.4">
      <c r="A85" s="62" t="s">
        <v>53</v>
      </c>
      <c r="B85" s="69">
        <v>1</v>
      </c>
      <c r="C85" s="472" t="s">
        <v>111</v>
      </c>
      <c r="D85" s="473"/>
      <c r="E85" s="473"/>
      <c r="F85" s="473"/>
      <c r="G85" s="473"/>
      <c r="H85" s="474"/>
      <c r="I85" s="65"/>
      <c r="J85" s="65"/>
      <c r="K85" s="65"/>
      <c r="L85" s="65"/>
    </row>
    <row r="86" spans="1:12" s="4" customFormat="1" ht="18.75" x14ac:dyDescent="0.3">
      <c r="A86" s="62"/>
      <c r="B86" s="72"/>
      <c r="C86" s="73"/>
      <c r="D86" s="73"/>
      <c r="E86" s="73"/>
      <c r="F86" s="73"/>
      <c r="G86" s="73"/>
      <c r="H86" s="73"/>
      <c r="I86" s="65"/>
      <c r="J86" s="65"/>
      <c r="K86" s="65"/>
      <c r="L86" s="65"/>
    </row>
    <row r="87" spans="1:12" s="4" customFormat="1" ht="18.75" x14ac:dyDescent="0.3">
      <c r="A87" s="62" t="s">
        <v>55</v>
      </c>
      <c r="B87" s="74">
        <f>B84/B85</f>
        <v>1</v>
      </c>
      <c r="C87" s="52" t="s">
        <v>56</v>
      </c>
      <c r="D87" s="52"/>
      <c r="E87" s="52"/>
      <c r="F87" s="52"/>
      <c r="G87" s="52"/>
      <c r="I87" s="65"/>
      <c r="J87" s="65"/>
      <c r="K87" s="65"/>
      <c r="L87" s="65"/>
    </row>
    <row r="88" spans="1:12" ht="19.5" customHeight="1" x14ac:dyDescent="0.3">
      <c r="A88" s="60"/>
      <c r="B88" s="60"/>
    </row>
    <row r="89" spans="1:12" ht="27" customHeight="1" x14ac:dyDescent="0.4">
      <c r="A89" s="75" t="s">
        <v>57</v>
      </c>
      <c r="B89" s="76">
        <v>50</v>
      </c>
      <c r="D89" s="155" t="s">
        <v>58</v>
      </c>
      <c r="E89" s="156"/>
      <c r="F89" s="470" t="s">
        <v>59</v>
      </c>
      <c r="G89" s="471"/>
    </row>
    <row r="90" spans="1:12" ht="27" customHeight="1" x14ac:dyDescent="0.4">
      <c r="A90" s="77" t="s">
        <v>60</v>
      </c>
      <c r="B90" s="78">
        <v>5</v>
      </c>
      <c r="C90" s="157" t="s">
        <v>61</v>
      </c>
      <c r="D90" s="80" t="s">
        <v>62</v>
      </c>
      <c r="E90" s="81" t="s">
        <v>63</v>
      </c>
      <c r="F90" s="80" t="s">
        <v>62</v>
      </c>
      <c r="G90" s="158" t="s">
        <v>63</v>
      </c>
      <c r="I90" s="83" t="s">
        <v>64</v>
      </c>
    </row>
    <row r="91" spans="1:12" ht="26.25" customHeight="1" x14ac:dyDescent="0.4">
      <c r="A91" s="77" t="s">
        <v>65</v>
      </c>
      <c r="B91" s="78">
        <v>100</v>
      </c>
      <c r="C91" s="159">
        <v>1</v>
      </c>
      <c r="D91" s="85">
        <v>0.69330000000000003</v>
      </c>
      <c r="E91" s="86">
        <f>IF(ISBLANK(D91),"-",$D$101/$D$98*D91)</f>
        <v>0.67122021115408637</v>
      </c>
      <c r="F91" s="85">
        <v>0.7298</v>
      </c>
      <c r="G91" s="87">
        <f>IF(ISBLANK(F91),"-",$D$101/$F$98*F91)</f>
        <v>0.66414283894217641</v>
      </c>
      <c r="I91" s="88"/>
    </row>
    <row r="92" spans="1:12" ht="26.25" customHeight="1" x14ac:dyDescent="0.4">
      <c r="A92" s="77" t="s">
        <v>66</v>
      </c>
      <c r="B92" s="78">
        <v>1</v>
      </c>
      <c r="C92" s="143">
        <v>2</v>
      </c>
      <c r="D92" s="90">
        <v>0.69730000000000003</v>
      </c>
      <c r="E92" s="91">
        <f>IF(ISBLANK(D92),"-",$D$101/$D$98*D92)</f>
        <v>0.67509282163240225</v>
      </c>
      <c r="F92" s="90">
        <v>0.72430000000000005</v>
      </c>
      <c r="G92" s="92">
        <f>IF(ISBLANK(F92),"-",$D$101/$F$98*F92)</f>
        <v>0.6591376517481754</v>
      </c>
      <c r="I92" s="500">
        <f>ABS((F96/D96*D95)-F95)/D95</f>
        <v>1.8727963452290424E-2</v>
      </c>
    </row>
    <row r="93" spans="1:12" ht="26.25" customHeight="1" x14ac:dyDescent="0.4">
      <c r="A93" s="77" t="s">
        <v>67</v>
      </c>
      <c r="B93" s="78">
        <v>1</v>
      </c>
      <c r="C93" s="143">
        <v>3</v>
      </c>
      <c r="D93" s="90">
        <v>0.69420000000000004</v>
      </c>
      <c r="E93" s="91">
        <f>IF(ISBLANK(D93),"-",$D$101/$D$98*D93)</f>
        <v>0.67209154851170749</v>
      </c>
      <c r="F93" s="90">
        <v>0.7248</v>
      </c>
      <c r="G93" s="92">
        <f>IF(ISBLANK(F93),"-",$D$101/$F$98*F93)</f>
        <v>0.6595926687658118</v>
      </c>
      <c r="I93" s="500"/>
    </row>
    <row r="94" spans="1:12" ht="27" customHeight="1" x14ac:dyDescent="0.4">
      <c r="A94" s="77" t="s">
        <v>68</v>
      </c>
      <c r="B94" s="78">
        <v>1</v>
      </c>
      <c r="C94" s="160">
        <v>4</v>
      </c>
      <c r="D94" s="95"/>
      <c r="E94" s="96" t="str">
        <f>IF(ISBLANK(D94),"-",$D$101/$D$98*D94)</f>
        <v>-</v>
      </c>
      <c r="F94" s="161"/>
      <c r="G94" s="97" t="str">
        <f>IF(ISBLANK(F94),"-",$D$101/$F$98*F94)</f>
        <v>-</v>
      </c>
      <c r="I94" s="98"/>
    </row>
    <row r="95" spans="1:12" ht="27" customHeight="1" x14ac:dyDescent="0.4">
      <c r="A95" s="77" t="s">
        <v>69</v>
      </c>
      <c r="B95" s="78">
        <v>1</v>
      </c>
      <c r="C95" s="162" t="s">
        <v>70</v>
      </c>
      <c r="D95" s="454">
        <f>AVERAGE(D91:D94)</f>
        <v>0.69493333333333329</v>
      </c>
      <c r="E95" s="100">
        <f>AVERAGE(E91:E94)</f>
        <v>0.67280152709939867</v>
      </c>
      <c r="F95" s="455">
        <f>AVERAGE(F91:F94)</f>
        <v>0.72630000000000006</v>
      </c>
      <c r="G95" s="163">
        <f>AVERAGE(G91:G94)</f>
        <v>0.6609577198187212</v>
      </c>
    </row>
    <row r="96" spans="1:12" ht="26.25" customHeight="1" x14ac:dyDescent="0.4">
      <c r="A96" s="77" t="s">
        <v>71</v>
      </c>
      <c r="B96" s="63">
        <v>1</v>
      </c>
      <c r="C96" s="164" t="s">
        <v>112</v>
      </c>
      <c r="D96" s="165">
        <v>24.74</v>
      </c>
      <c r="E96" s="93"/>
      <c r="F96" s="103">
        <v>26.32</v>
      </c>
    </row>
    <row r="97" spans="1:10" ht="26.25" customHeight="1" x14ac:dyDescent="0.4">
      <c r="A97" s="77" t="s">
        <v>73</v>
      </c>
      <c r="B97" s="63">
        <v>1</v>
      </c>
      <c r="C97" s="166" t="s">
        <v>113</v>
      </c>
      <c r="D97" s="167">
        <f>D96*$B$87</f>
        <v>24.74</v>
      </c>
      <c r="E97" s="106"/>
      <c r="F97" s="105">
        <f>F96*$B$87</f>
        <v>26.32</v>
      </c>
    </row>
    <row r="98" spans="1:10" ht="19.5" customHeight="1" x14ac:dyDescent="0.3">
      <c r="A98" s="77" t="s">
        <v>75</v>
      </c>
      <c r="B98" s="168">
        <f>(B97/B96)*(B95/B94)*(B93/B92)*(B91/B90)*B89</f>
        <v>1000</v>
      </c>
      <c r="C98" s="166" t="s">
        <v>114</v>
      </c>
      <c r="D98" s="169">
        <f>D97*$B$83/100</f>
        <v>24.789479999999998</v>
      </c>
      <c r="E98" s="109"/>
      <c r="F98" s="108">
        <f>F97*$B$83/100</f>
        <v>26.372640000000001</v>
      </c>
    </row>
    <row r="99" spans="1:10" ht="19.5" customHeight="1" x14ac:dyDescent="0.3">
      <c r="A99" s="483" t="s">
        <v>77</v>
      </c>
      <c r="B99" s="487"/>
      <c r="C99" s="166" t="s">
        <v>115</v>
      </c>
      <c r="D99" s="170">
        <f>D98/$B$98</f>
        <v>2.4789479999999999E-2</v>
      </c>
      <c r="E99" s="109"/>
      <c r="F99" s="112">
        <f>F98/$B$98</f>
        <v>2.6372639999999999E-2</v>
      </c>
      <c r="G99" s="171"/>
      <c r="H99" s="101"/>
    </row>
    <row r="100" spans="1:10" ht="19.5" customHeight="1" x14ac:dyDescent="0.3">
      <c r="A100" s="485"/>
      <c r="B100" s="488"/>
      <c r="C100" s="166" t="s">
        <v>79</v>
      </c>
      <c r="D100" s="172">
        <f>$B$56/$B$116</f>
        <v>2.4E-2</v>
      </c>
      <c r="F100" s="117"/>
      <c r="G100" s="173"/>
      <c r="H100" s="101"/>
    </row>
    <row r="101" spans="1:10" ht="18.75" x14ac:dyDescent="0.3">
      <c r="C101" s="166" t="s">
        <v>80</v>
      </c>
      <c r="D101" s="167">
        <f>D100*$B$98</f>
        <v>24</v>
      </c>
      <c r="F101" s="117"/>
      <c r="G101" s="171"/>
      <c r="H101" s="101"/>
    </row>
    <row r="102" spans="1:10" ht="19.5" customHeight="1" x14ac:dyDescent="0.3">
      <c r="C102" s="174" t="s">
        <v>81</v>
      </c>
      <c r="D102" s="175">
        <f>D101/B34</f>
        <v>24</v>
      </c>
      <c r="F102" s="121"/>
      <c r="G102" s="171"/>
      <c r="H102" s="101"/>
      <c r="J102" s="176"/>
    </row>
    <row r="103" spans="1:10" ht="18.75" x14ac:dyDescent="0.3">
      <c r="C103" s="177" t="s">
        <v>116</v>
      </c>
      <c r="D103" s="178">
        <f>AVERAGE(E91:E94,G91:G94)</f>
        <v>0.66687962345906004</v>
      </c>
      <c r="F103" s="121"/>
      <c r="G103" s="179"/>
      <c r="H103" s="101"/>
      <c r="J103" s="180"/>
    </row>
    <row r="104" spans="1:10" ht="18.75" x14ac:dyDescent="0.3">
      <c r="C104" s="146" t="s">
        <v>83</v>
      </c>
      <c r="D104" s="181">
        <f>STDEV(E91:E94,G91:G94)/D103</f>
        <v>1.0258067700710903E-2</v>
      </c>
      <c r="F104" s="121"/>
      <c r="G104" s="171"/>
      <c r="H104" s="101"/>
      <c r="J104" s="180"/>
    </row>
    <row r="105" spans="1:10" ht="19.5" customHeight="1" x14ac:dyDescent="0.3">
      <c r="C105" s="148" t="s">
        <v>19</v>
      </c>
      <c r="D105" s="182">
        <f>COUNT(E91:E94,G91:G94)</f>
        <v>6</v>
      </c>
      <c r="F105" s="121"/>
      <c r="G105" s="171"/>
      <c r="H105" s="101"/>
      <c r="J105" s="180"/>
    </row>
    <row r="106" spans="1:10" ht="19.5" customHeight="1" x14ac:dyDescent="0.3">
      <c r="A106" s="125"/>
      <c r="B106" s="125"/>
      <c r="C106" s="125"/>
      <c r="D106" s="125"/>
      <c r="E106" s="125"/>
    </row>
    <row r="107" spans="1:10" ht="26.25" customHeight="1" x14ac:dyDescent="0.4">
      <c r="A107" s="75" t="s">
        <v>117</v>
      </c>
      <c r="B107" s="76">
        <v>1000</v>
      </c>
      <c r="C107" s="183" t="s">
        <v>118</v>
      </c>
      <c r="D107" s="184" t="s">
        <v>62</v>
      </c>
      <c r="E107" s="185" t="s">
        <v>119</v>
      </c>
      <c r="F107" s="186" t="s">
        <v>120</v>
      </c>
    </row>
    <row r="108" spans="1:10" ht="26.25" customHeight="1" x14ac:dyDescent="0.4">
      <c r="A108" s="77" t="s">
        <v>121</v>
      </c>
      <c r="B108" s="78">
        <v>5</v>
      </c>
      <c r="C108" s="187">
        <v>1</v>
      </c>
      <c r="D108" s="398">
        <v>0.45850000000000002</v>
      </c>
      <c r="E108" s="217">
        <f t="shared" ref="E108:E113" si="1">IF(ISBLANK(D108),"-",D108/$D$103*$D$100*$B$116)</f>
        <v>330.01458172984769</v>
      </c>
      <c r="F108" s="188">
        <f t="shared" ref="F108:F113" si="2">IF(ISBLANK(D108), "-", E108/$B$56)</f>
        <v>0.68753037860384936</v>
      </c>
    </row>
    <row r="109" spans="1:10" ht="26.25" customHeight="1" x14ac:dyDescent="0.4">
      <c r="A109" s="77" t="s">
        <v>94</v>
      </c>
      <c r="B109" s="78">
        <v>100</v>
      </c>
      <c r="C109" s="187">
        <v>2</v>
      </c>
      <c r="D109" s="398">
        <v>0.46089999999999998</v>
      </c>
      <c r="E109" s="218">
        <f t="shared" si="1"/>
        <v>331.7420299221086</v>
      </c>
      <c r="F109" s="189">
        <f t="shared" si="2"/>
        <v>0.69112922900439289</v>
      </c>
    </row>
    <row r="110" spans="1:10" ht="26.25" customHeight="1" x14ac:dyDescent="0.4">
      <c r="A110" s="77" t="s">
        <v>95</v>
      </c>
      <c r="B110" s="78">
        <v>1</v>
      </c>
      <c r="C110" s="187">
        <v>3</v>
      </c>
      <c r="D110" s="398">
        <v>0.48199999999999998</v>
      </c>
      <c r="E110" s="218">
        <f t="shared" si="1"/>
        <v>346.92917861240255</v>
      </c>
      <c r="F110" s="189">
        <f t="shared" si="2"/>
        <v>0.72276912210917199</v>
      </c>
    </row>
    <row r="111" spans="1:10" ht="26.25" customHeight="1" x14ac:dyDescent="0.4">
      <c r="A111" s="77" t="s">
        <v>96</v>
      </c>
      <c r="B111" s="78">
        <v>1</v>
      </c>
      <c r="C111" s="187">
        <v>4</v>
      </c>
      <c r="D111" s="398">
        <v>0.56859999999999999</v>
      </c>
      <c r="E111" s="218">
        <f t="shared" si="1"/>
        <v>409.26126754981766</v>
      </c>
      <c r="F111" s="189">
        <f t="shared" si="2"/>
        <v>0.85262764072878683</v>
      </c>
    </row>
    <row r="112" spans="1:10" ht="26.25" customHeight="1" x14ac:dyDescent="0.4">
      <c r="A112" s="77" t="s">
        <v>97</v>
      </c>
      <c r="B112" s="78">
        <v>1</v>
      </c>
      <c r="C112" s="187">
        <v>5</v>
      </c>
      <c r="D112" s="398">
        <v>0.48420000000000002</v>
      </c>
      <c r="E112" s="218">
        <f t="shared" si="1"/>
        <v>348.51267278864174</v>
      </c>
      <c r="F112" s="189">
        <f t="shared" si="2"/>
        <v>0.7260680683096703</v>
      </c>
    </row>
    <row r="113" spans="1:10" ht="26.25" customHeight="1" x14ac:dyDescent="0.4">
      <c r="A113" s="77" t="s">
        <v>99</v>
      </c>
      <c r="B113" s="78">
        <v>1</v>
      </c>
      <c r="C113" s="190">
        <v>6</v>
      </c>
      <c r="D113" s="399">
        <v>0.45029999999999998</v>
      </c>
      <c r="E113" s="219">
        <f t="shared" si="1"/>
        <v>324.11246707295618</v>
      </c>
      <c r="F113" s="191">
        <f t="shared" si="2"/>
        <v>0.675234306401992</v>
      </c>
    </row>
    <row r="114" spans="1:10" ht="26.25" customHeight="1" x14ac:dyDescent="0.4">
      <c r="A114" s="77" t="s">
        <v>100</v>
      </c>
      <c r="B114" s="78">
        <v>1</v>
      </c>
      <c r="C114" s="187"/>
      <c r="D114" s="143"/>
      <c r="E114" s="51"/>
      <c r="F114" s="192"/>
    </row>
    <row r="115" spans="1:10" ht="26.25" customHeight="1" x14ac:dyDescent="0.4">
      <c r="A115" s="77" t="s">
        <v>101</v>
      </c>
      <c r="B115" s="78">
        <v>1</v>
      </c>
      <c r="C115" s="187"/>
      <c r="D115" s="193" t="s">
        <v>70</v>
      </c>
      <c r="E115" s="221">
        <f>AVERAGE(E108:E113)</f>
        <v>348.42869961262909</v>
      </c>
      <c r="F115" s="194">
        <f>AVERAGE(F108:F113)</f>
        <v>0.72589312419297736</v>
      </c>
    </row>
    <row r="116" spans="1:10" ht="27" customHeight="1" x14ac:dyDescent="0.4">
      <c r="A116" s="77" t="s">
        <v>102</v>
      </c>
      <c r="B116" s="107">
        <f>(B115/B114)*(B113/B112)*(B111/B110)*(B109/B108)*B107</f>
        <v>20000</v>
      </c>
      <c r="C116" s="195"/>
      <c r="D116" s="162" t="s">
        <v>83</v>
      </c>
      <c r="E116" s="196">
        <f>STDEV(E108:E113)/E115</f>
        <v>8.9952918902003937E-2</v>
      </c>
      <c r="F116" s="196">
        <f>STDEV(F108:F113)/F115</f>
        <v>8.995291890200395E-2</v>
      </c>
      <c r="I116" s="51"/>
    </row>
    <row r="117" spans="1:10" ht="27" customHeight="1" x14ac:dyDescent="0.4">
      <c r="A117" s="483" t="s">
        <v>77</v>
      </c>
      <c r="B117" s="484"/>
      <c r="C117" s="197"/>
      <c r="D117" s="198" t="s">
        <v>19</v>
      </c>
      <c r="E117" s="199">
        <f>COUNT(E108:E113)</f>
        <v>6</v>
      </c>
      <c r="F117" s="199">
        <f>COUNT(F108:F113)</f>
        <v>6</v>
      </c>
      <c r="I117" s="51"/>
      <c r="J117" s="180"/>
    </row>
    <row r="118" spans="1:10" ht="19.5" customHeight="1" x14ac:dyDescent="0.3">
      <c r="A118" s="485"/>
      <c r="B118" s="486"/>
      <c r="C118" s="51"/>
      <c r="D118" s="51"/>
      <c r="E118" s="51"/>
      <c r="F118" s="143"/>
      <c r="G118" s="51"/>
      <c r="H118" s="51"/>
      <c r="I118" s="51"/>
    </row>
    <row r="119" spans="1:10" ht="18.75" x14ac:dyDescent="0.3">
      <c r="A119" s="208"/>
      <c r="B119" s="73"/>
      <c r="C119" s="51"/>
      <c r="D119" s="51"/>
      <c r="E119" s="51"/>
      <c r="F119" s="143"/>
      <c r="G119" s="51"/>
      <c r="H119" s="51"/>
      <c r="I119" s="51"/>
    </row>
    <row r="120" spans="1:10" ht="26.25" customHeight="1" x14ac:dyDescent="0.4">
      <c r="A120" s="61" t="s">
        <v>105</v>
      </c>
      <c r="B120" s="150" t="s">
        <v>122</v>
      </c>
      <c r="C120" s="465" t="str">
        <f>C76</f>
        <v>LUMEFANTRINE</v>
      </c>
      <c r="D120" s="465"/>
      <c r="E120" s="151" t="s">
        <v>123</v>
      </c>
      <c r="F120" s="151"/>
      <c r="G120" s="152">
        <f>F115</f>
        <v>0.72589312419297736</v>
      </c>
      <c r="H120" s="51"/>
      <c r="I120" s="51"/>
    </row>
    <row r="121" spans="1:10" ht="19.5" customHeight="1" x14ac:dyDescent="0.3">
      <c r="A121" s="200"/>
      <c r="B121" s="200"/>
      <c r="C121" s="201"/>
      <c r="D121" s="201"/>
      <c r="E121" s="201"/>
      <c r="F121" s="201"/>
      <c r="G121" s="201"/>
      <c r="H121" s="201"/>
    </row>
    <row r="122" spans="1:10" ht="18.75" x14ac:dyDescent="0.3">
      <c r="B122" s="466" t="s">
        <v>25</v>
      </c>
      <c r="C122" s="466"/>
      <c r="E122" s="157" t="s">
        <v>26</v>
      </c>
      <c r="F122" s="202"/>
      <c r="G122" s="466" t="s">
        <v>27</v>
      </c>
      <c r="H122" s="466"/>
    </row>
    <row r="123" spans="1:10" ht="45.75" customHeight="1" x14ac:dyDescent="0.3">
      <c r="A123" s="203" t="s">
        <v>28</v>
      </c>
      <c r="B123" s="204"/>
      <c r="C123" s="204"/>
      <c r="E123" s="204"/>
      <c r="F123" s="51"/>
      <c r="G123" s="205"/>
      <c r="H123" s="205"/>
    </row>
    <row r="124" spans="1:10" ht="53.25" customHeight="1" x14ac:dyDescent="0.3">
      <c r="A124" s="203" t="s">
        <v>29</v>
      </c>
      <c r="B124" s="206"/>
      <c r="C124" s="206"/>
      <c r="E124" s="206"/>
      <c r="F124" s="51"/>
      <c r="G124" s="207"/>
      <c r="H124" s="207"/>
    </row>
    <row r="125" spans="1:10" ht="18.75" x14ac:dyDescent="0.3">
      <c r="A125" s="142"/>
      <c r="B125" s="142"/>
      <c r="C125" s="143"/>
      <c r="D125" s="143"/>
      <c r="E125" s="143"/>
      <c r="F125" s="147"/>
      <c r="G125" s="143"/>
      <c r="H125" s="143"/>
      <c r="I125" s="51"/>
    </row>
    <row r="126" spans="1:10" ht="18.75" x14ac:dyDescent="0.3">
      <c r="A126" s="142"/>
      <c r="B126" s="142"/>
      <c r="C126" s="143"/>
      <c r="D126" s="143"/>
      <c r="E126" s="143"/>
      <c r="F126" s="147"/>
      <c r="G126" s="143"/>
      <c r="H126" s="143"/>
      <c r="I126" s="51"/>
    </row>
    <row r="127" spans="1:10" ht="18.75" x14ac:dyDescent="0.3">
      <c r="A127" s="142"/>
      <c r="B127" s="142"/>
      <c r="C127" s="143"/>
      <c r="D127" s="143"/>
      <c r="E127" s="143"/>
      <c r="F127" s="147"/>
      <c r="G127" s="143"/>
      <c r="H127" s="143"/>
      <c r="I127" s="51"/>
    </row>
    <row r="128" spans="1:10" ht="18.75" x14ac:dyDescent="0.3">
      <c r="A128" s="142"/>
      <c r="B128" s="142"/>
      <c r="C128" s="143"/>
      <c r="D128" s="143"/>
      <c r="E128" s="143"/>
      <c r="F128" s="147"/>
      <c r="G128" s="143"/>
      <c r="H128" s="143"/>
      <c r="I128" s="51"/>
    </row>
    <row r="129" spans="1:9" ht="18.75" x14ac:dyDescent="0.3">
      <c r="A129" s="142"/>
      <c r="B129" s="142"/>
      <c r="C129" s="143"/>
      <c r="D129" s="143"/>
      <c r="E129" s="143"/>
      <c r="F129" s="147"/>
      <c r="G129" s="143"/>
      <c r="H129" s="143"/>
      <c r="I129" s="51"/>
    </row>
    <row r="130" spans="1:9" ht="18.75" x14ac:dyDescent="0.3">
      <c r="A130" s="142"/>
      <c r="B130" s="142"/>
      <c r="C130" s="143"/>
      <c r="D130" s="143"/>
      <c r="E130" s="143"/>
      <c r="F130" s="147"/>
      <c r="G130" s="143"/>
      <c r="H130" s="143"/>
      <c r="I130" s="51"/>
    </row>
    <row r="131" spans="1:9" ht="18.75" x14ac:dyDescent="0.3">
      <c r="A131" s="142"/>
      <c r="B131" s="142"/>
      <c r="C131" s="143"/>
      <c r="D131" s="143"/>
      <c r="E131" s="143"/>
      <c r="F131" s="147"/>
      <c r="G131" s="143"/>
      <c r="H131" s="143"/>
      <c r="I131" s="51"/>
    </row>
    <row r="132" spans="1:9" ht="18.75" x14ac:dyDescent="0.3">
      <c r="A132" s="142"/>
      <c r="B132" s="142"/>
      <c r="C132" s="143"/>
      <c r="D132" s="143"/>
      <c r="E132" s="143"/>
      <c r="F132" s="147"/>
      <c r="G132" s="143"/>
      <c r="H132" s="143"/>
      <c r="I132" s="51"/>
    </row>
    <row r="133" spans="1:9" ht="18.75" x14ac:dyDescent="0.3">
      <c r="A133" s="142"/>
      <c r="B133" s="142"/>
      <c r="C133" s="143"/>
      <c r="D133" s="143"/>
      <c r="E133" s="143"/>
      <c r="F133" s="147"/>
      <c r="G133" s="143"/>
      <c r="H133" s="143"/>
      <c r="I133" s="51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0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SST</vt:lpstr>
      <vt:lpstr>Uniformity</vt:lpstr>
      <vt:lpstr>ARTEMETHER</vt:lpstr>
      <vt:lpstr>LUMEFANTRINE</vt:lpstr>
      <vt:lpstr>ARTEMETHER!Print_Area</vt:lpstr>
      <vt:lpstr>SST!Print_Area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 probook</cp:lastModifiedBy>
  <cp:lastPrinted>2015-12-22T06:39:52Z</cp:lastPrinted>
  <dcterms:created xsi:type="dcterms:W3CDTF">2005-07-05T10:19:27Z</dcterms:created>
  <dcterms:modified xsi:type="dcterms:W3CDTF">2015-12-23T09:08:54Z</dcterms:modified>
  <cp:category/>
</cp:coreProperties>
</file>