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" sheetId="7" r:id="rId1"/>
    <sheet name="Uniformity" sheetId="2" r:id="rId2"/>
    <sheet name="ARTEMETHER" sheetId="5" r:id="rId3"/>
    <sheet name="ARTEMETHER  (Diss Rpt) " sheetId="6" r:id="rId4"/>
    <sheet name="LUMEFANTRINE" sheetId="4" r:id="rId5"/>
  </sheets>
  <definedNames>
    <definedName name="_xlnm.Print_Area" localSheetId="2">ARTEMETHER!$A$1:$H$144</definedName>
    <definedName name="_xlnm.Print_Area" localSheetId="3">'ARTEMETHER  (Diss Rpt) '!$A$77:$H$149</definedName>
    <definedName name="_xlnm.Print_Area" localSheetId="4">LUMEFANTRINE!$A$1:$N$126</definedName>
    <definedName name="_xlnm.Print_Area" localSheetId="0">SST!$A$1:$E$92</definedName>
    <definedName name="_xlnm.Print_Area" localSheetId="1">Uniformity!$A$1:$F$57</definedName>
  </definedNames>
  <calcPr calcId="144525"/>
</workbook>
</file>

<file path=xl/calcChain.xml><?xml version="1.0" encoding="utf-8"?>
<calcChain xmlns="http://schemas.openxmlformats.org/spreadsheetml/2006/main">
  <c r="C120" i="4" l="1"/>
  <c r="C76" i="4"/>
  <c r="C56" i="4"/>
  <c r="C140" i="5"/>
  <c r="C123" i="5"/>
  <c r="C76" i="5"/>
  <c r="C56" i="5"/>
  <c r="B30" i="7"/>
  <c r="B29" i="7"/>
  <c r="B28" i="7"/>
  <c r="B42" i="7"/>
  <c r="E40" i="7"/>
  <c r="D40" i="7"/>
  <c r="B40" i="7"/>
  <c r="B41" i="7" s="1"/>
  <c r="G97" i="5" l="1"/>
  <c r="E97" i="5"/>
  <c r="F98" i="5"/>
  <c r="D98" i="5"/>
  <c r="G95" i="6" l="1"/>
  <c r="G96" i="6"/>
  <c r="G97" i="6"/>
  <c r="G94" i="6"/>
  <c r="E94" i="6"/>
  <c r="E95" i="6"/>
  <c r="E96" i="6"/>
  <c r="E97" i="6"/>
  <c r="E98" i="6" s="1"/>
  <c r="D103" i="6"/>
  <c r="B73" i="7" l="1"/>
  <c r="B72" i="7"/>
  <c r="B71" i="7"/>
  <c r="B51" i="7"/>
  <c r="B50" i="7"/>
  <c r="B49" i="7"/>
  <c r="B9" i="7"/>
  <c r="B10" i="7" s="1"/>
  <c r="B8" i="7"/>
  <c r="B7" i="7"/>
  <c r="B6" i="7"/>
  <c r="B70" i="7" s="1"/>
  <c r="B85" i="7"/>
  <c r="E83" i="7"/>
  <c r="D83" i="7"/>
  <c r="C83" i="7"/>
  <c r="B83" i="7"/>
  <c r="B84" i="7" s="1"/>
  <c r="B63" i="7"/>
  <c r="B62" i="7"/>
  <c r="E61" i="7"/>
  <c r="D61" i="7"/>
  <c r="B61" i="7"/>
  <c r="B21" i="7"/>
  <c r="E19" i="7"/>
  <c r="D19" i="7"/>
  <c r="C19" i="7"/>
  <c r="B19" i="7"/>
  <c r="B20" i="7" s="1"/>
  <c r="C140" i="6"/>
  <c r="C123" i="6"/>
  <c r="C76" i="6"/>
  <c r="C56" i="6"/>
  <c r="F98" i="6" l="1"/>
  <c r="D98" i="6"/>
  <c r="B136" i="6"/>
  <c r="B119" i="6"/>
  <c r="B101" i="6"/>
  <c r="B52" i="7" s="1"/>
  <c r="B90" i="6"/>
  <c r="D100" i="6" s="1"/>
  <c r="B85" i="6"/>
  <c r="B86" i="6" s="1"/>
  <c r="B84" i="6"/>
  <c r="B83" i="6"/>
  <c r="B82" i="6"/>
  <c r="H71" i="6"/>
  <c r="G71" i="6"/>
  <c r="B68" i="6"/>
  <c r="B69" i="6" s="1"/>
  <c r="H67" i="6"/>
  <c r="G67" i="6"/>
  <c r="H63" i="6"/>
  <c r="G63" i="6"/>
  <c r="B57" i="6"/>
  <c r="B55" i="6"/>
  <c r="D48" i="6"/>
  <c r="D49" i="6" s="1"/>
  <c r="B45" i="6"/>
  <c r="F42" i="6"/>
  <c r="D42" i="6"/>
  <c r="B34" i="6"/>
  <c r="D44" i="6" s="1"/>
  <c r="D45" i="6" s="1"/>
  <c r="D46" i="6" s="1"/>
  <c r="B30" i="6"/>
  <c r="D104" i="6" l="1"/>
  <c r="D105" i="6" s="1"/>
  <c r="D101" i="6"/>
  <c r="F44" i="6"/>
  <c r="F45" i="6" s="1"/>
  <c r="G40" i="6" s="1"/>
  <c r="F100" i="6"/>
  <c r="F101" i="6" s="1"/>
  <c r="E39" i="6"/>
  <c r="E41" i="6"/>
  <c r="E38" i="6"/>
  <c r="E40" i="6"/>
  <c r="F102" i="6" l="1"/>
  <c r="D52" i="6"/>
  <c r="E42" i="6"/>
  <c r="G41" i="6"/>
  <c r="F46" i="6"/>
  <c r="G39" i="6"/>
  <c r="G38" i="6"/>
  <c r="D102" i="6"/>
  <c r="G98" i="6" l="1"/>
  <c r="G42" i="6"/>
  <c r="D50" i="6"/>
  <c r="D106" i="6" l="1"/>
  <c r="E114" i="6" s="1"/>
  <c r="F114" i="6" s="1"/>
  <c r="D108" i="6"/>
  <c r="G68" i="6"/>
  <c r="H68" i="6" s="1"/>
  <c r="G69" i="6"/>
  <c r="H69" i="6" s="1"/>
  <c r="G66" i="6"/>
  <c r="H66" i="6" s="1"/>
  <c r="G62" i="6"/>
  <c r="H62" i="6" s="1"/>
  <c r="G60" i="6"/>
  <c r="H60" i="6" s="1"/>
  <c r="D51" i="6"/>
  <c r="G64" i="6"/>
  <c r="H64" i="6" s="1"/>
  <c r="G70" i="6"/>
  <c r="H70" i="6" s="1"/>
  <c r="G65" i="6"/>
  <c r="H65" i="6" s="1"/>
  <c r="G61" i="6"/>
  <c r="H61" i="6" s="1"/>
  <c r="E111" i="6" l="1"/>
  <c r="F111" i="6" s="1"/>
  <c r="E130" i="6"/>
  <c r="F130" i="6" s="1"/>
  <c r="E112" i="6"/>
  <c r="F112" i="6" s="1"/>
  <c r="E131" i="6"/>
  <c r="F131" i="6" s="1"/>
  <c r="E113" i="6"/>
  <c r="F113" i="6" s="1"/>
  <c r="E116" i="6"/>
  <c r="F116" i="6" s="1"/>
  <c r="E133" i="6"/>
  <c r="F133" i="6" s="1"/>
  <c r="E128" i="6"/>
  <c r="F128" i="6" s="1"/>
  <c r="E115" i="6"/>
  <c r="F115" i="6" s="1"/>
  <c r="D107" i="6"/>
  <c r="E132" i="6"/>
  <c r="F132" i="6" s="1"/>
  <c r="E129" i="6"/>
  <c r="F129" i="6" s="1"/>
  <c r="H74" i="6"/>
  <c r="H72" i="6"/>
  <c r="E120" i="6" l="1"/>
  <c r="E118" i="6"/>
  <c r="E119" i="6" s="1"/>
  <c r="E135" i="6"/>
  <c r="E136" i="6" s="1"/>
  <c r="E137" i="6"/>
  <c r="H73" i="6"/>
  <c r="G76" i="6"/>
  <c r="F42" i="5" l="1"/>
  <c r="D42" i="5"/>
  <c r="C19" i="2" l="1"/>
  <c r="C18" i="2"/>
  <c r="F42" i="4" l="1"/>
  <c r="D42" i="4"/>
  <c r="D95" i="4"/>
  <c r="F95" i="4"/>
  <c r="B136" i="5" l="1"/>
  <c r="B119" i="5"/>
  <c r="D103" i="5" s="1"/>
  <c r="B101" i="5"/>
  <c r="B31" i="7" s="1"/>
  <c r="B90" i="5"/>
  <c r="D100" i="5" s="1"/>
  <c r="B85" i="5"/>
  <c r="B84" i="5"/>
  <c r="B86" i="5" s="1"/>
  <c r="B83" i="5"/>
  <c r="B82" i="5"/>
  <c r="H71" i="5"/>
  <c r="G71" i="5"/>
  <c r="B68" i="5"/>
  <c r="H67" i="5"/>
  <c r="G67" i="5"/>
  <c r="H63" i="5"/>
  <c r="G63" i="5"/>
  <c r="B55" i="5"/>
  <c r="B45" i="5"/>
  <c r="D48" i="5" s="1"/>
  <c r="D44" i="5"/>
  <c r="B34" i="5"/>
  <c r="F44" i="5" s="1"/>
  <c r="B30" i="5"/>
  <c r="B116" i="4"/>
  <c r="D100" i="4" s="1"/>
  <c r="B98" i="4"/>
  <c r="I92" i="4"/>
  <c r="B87" i="4"/>
  <c r="F97" i="4" s="1"/>
  <c r="B81" i="4"/>
  <c r="B83" i="4" s="1"/>
  <c r="B80" i="4"/>
  <c r="B79" i="4"/>
  <c r="B68" i="4"/>
  <c r="B55" i="4"/>
  <c r="B45" i="4"/>
  <c r="I39" i="4"/>
  <c r="B34" i="4"/>
  <c r="D44" i="4" s="1"/>
  <c r="B30" i="4"/>
  <c r="C49" i="2"/>
  <c r="C46" i="2"/>
  <c r="C50" i="2" s="1"/>
  <c r="C45" i="2"/>
  <c r="D41" i="2"/>
  <c r="D40" i="2"/>
  <c r="D36" i="2"/>
  <c r="D35" i="2"/>
  <c r="D31" i="2"/>
  <c r="D30" i="2"/>
  <c r="D27" i="2"/>
  <c r="D26" i="2"/>
  <c r="D48" i="4" l="1"/>
  <c r="D49" i="4" s="1"/>
  <c r="B74" i="7"/>
  <c r="D101" i="4"/>
  <c r="D102" i="4" s="1"/>
  <c r="F45" i="5"/>
  <c r="D104" i="5"/>
  <c r="D45" i="5"/>
  <c r="D101" i="5"/>
  <c r="D45" i="4"/>
  <c r="F98" i="4"/>
  <c r="F99" i="4" s="1"/>
  <c r="D49" i="5"/>
  <c r="D24" i="2"/>
  <c r="D32" i="2"/>
  <c r="D37" i="2"/>
  <c r="D25" i="2"/>
  <c r="D29" i="2"/>
  <c r="D33" i="2"/>
  <c r="D39" i="2"/>
  <c r="D50" i="2"/>
  <c r="B49" i="2"/>
  <c r="D42" i="2"/>
  <c r="D38" i="2"/>
  <c r="D34" i="2"/>
  <c r="B57" i="5"/>
  <c r="B69" i="5" s="1"/>
  <c r="B57" i="4"/>
  <c r="B69" i="4" s="1"/>
  <c r="D97" i="4"/>
  <c r="D98" i="4" s="1"/>
  <c r="D28" i="2"/>
  <c r="D43" i="2"/>
  <c r="D49" i="2"/>
  <c r="F44" i="4"/>
  <c r="F45" i="4" s="1"/>
  <c r="F46" i="4" s="1"/>
  <c r="F100" i="5"/>
  <c r="F101" i="5" s="1"/>
  <c r="F102" i="5" s="1"/>
  <c r="D105" i="5" l="1"/>
  <c r="G95" i="5"/>
  <c r="E95" i="5"/>
  <c r="G96" i="5"/>
  <c r="E96" i="5"/>
  <c r="E94" i="5"/>
  <c r="G94" i="5"/>
  <c r="E40" i="5"/>
  <c r="E38" i="5"/>
  <c r="E41" i="5"/>
  <c r="E39" i="5"/>
  <c r="D52" i="5" s="1"/>
  <c r="G40" i="5"/>
  <c r="G38" i="5"/>
  <c r="G41" i="5"/>
  <c r="G39" i="5"/>
  <c r="D46" i="4"/>
  <c r="E38" i="4"/>
  <c r="E40" i="4"/>
  <c r="E41" i="4"/>
  <c r="E39" i="4"/>
  <c r="D99" i="4"/>
  <c r="E93" i="4"/>
  <c r="E94" i="4"/>
  <c r="E91" i="4"/>
  <c r="E92" i="4"/>
  <c r="D102" i="5"/>
  <c r="F46" i="5"/>
  <c r="D46" i="5"/>
  <c r="D50" i="5"/>
  <c r="G92" i="4"/>
  <c r="G93" i="4"/>
  <c r="G91" i="4"/>
  <c r="G94" i="4"/>
  <c r="G39" i="4"/>
  <c r="G40" i="4"/>
  <c r="G41" i="4"/>
  <c r="G38" i="4"/>
  <c r="G42" i="5" l="1"/>
  <c r="E42" i="5"/>
  <c r="E42" i="4"/>
  <c r="E95" i="4"/>
  <c r="E98" i="5"/>
  <c r="G98" i="5"/>
  <c r="D106" i="5"/>
  <c r="E128" i="5" s="1"/>
  <c r="F128" i="5" s="1"/>
  <c r="D108" i="5"/>
  <c r="G95" i="4"/>
  <c r="D50" i="4"/>
  <c r="G63" i="4" s="1"/>
  <c r="H63" i="4" s="1"/>
  <c r="G42" i="4"/>
  <c r="G68" i="5"/>
  <c r="H68" i="5" s="1"/>
  <c r="G69" i="5"/>
  <c r="H69" i="5" s="1"/>
  <c r="G70" i="5"/>
  <c r="H70" i="5" s="1"/>
  <c r="G65" i="5"/>
  <c r="H65" i="5" s="1"/>
  <c r="G61" i="5"/>
  <c r="H61" i="5" s="1"/>
  <c r="G64" i="5"/>
  <c r="H64" i="5" s="1"/>
  <c r="G60" i="5"/>
  <c r="H60" i="5" s="1"/>
  <c r="G66" i="5"/>
  <c r="H66" i="5" s="1"/>
  <c r="D51" i="5"/>
  <c r="G62" i="5"/>
  <c r="H62" i="5" s="1"/>
  <c r="D105" i="4"/>
  <c r="D103" i="4"/>
  <c r="D52" i="4"/>
  <c r="D107" i="5" l="1"/>
  <c r="E115" i="5"/>
  <c r="F115" i="5" s="1"/>
  <c r="E129" i="5"/>
  <c r="F129" i="5" s="1"/>
  <c r="E112" i="5"/>
  <c r="F112" i="5" s="1"/>
  <c r="E130" i="5"/>
  <c r="F130" i="5" s="1"/>
  <c r="E111" i="5"/>
  <c r="F111" i="5" s="1"/>
  <c r="E131" i="5"/>
  <c r="F131" i="5" s="1"/>
  <c r="E114" i="5"/>
  <c r="F114" i="5" s="1"/>
  <c r="E132" i="5"/>
  <c r="F132" i="5" s="1"/>
  <c r="E113" i="5"/>
  <c r="F113" i="5" s="1"/>
  <c r="E133" i="5"/>
  <c r="F133" i="5" s="1"/>
  <c r="E116" i="5"/>
  <c r="F116" i="5" s="1"/>
  <c r="G64" i="4"/>
  <c r="H64" i="4" s="1"/>
  <c r="G62" i="4"/>
  <c r="H62" i="4" s="1"/>
  <c r="G67" i="4"/>
  <c r="H67" i="4" s="1"/>
  <c r="G65" i="4"/>
  <c r="H65" i="4" s="1"/>
  <c r="G70" i="4"/>
  <c r="H70" i="4" s="1"/>
  <c r="G61" i="4"/>
  <c r="H61" i="4" s="1"/>
  <c r="G71" i="4"/>
  <c r="H71" i="4" s="1"/>
  <c r="G69" i="4"/>
  <c r="H69" i="4" s="1"/>
  <c r="G68" i="4"/>
  <c r="H68" i="4" s="1"/>
  <c r="G66" i="4"/>
  <c r="H66" i="4" s="1"/>
  <c r="D51" i="4"/>
  <c r="G60" i="4"/>
  <c r="H60" i="4" s="1"/>
  <c r="H74" i="5"/>
  <c r="H72" i="5"/>
  <c r="E112" i="4"/>
  <c r="F112" i="4" s="1"/>
  <c r="E110" i="4"/>
  <c r="F110" i="4" s="1"/>
  <c r="E108" i="4"/>
  <c r="E113" i="4"/>
  <c r="F113" i="4" s="1"/>
  <c r="D104" i="4"/>
  <c r="E109" i="4"/>
  <c r="F109" i="4" s="1"/>
  <c r="E111" i="4"/>
  <c r="F111" i="4" s="1"/>
  <c r="F135" i="6" l="1"/>
  <c r="G140" i="6" s="1"/>
  <c r="F137" i="6"/>
  <c r="F120" i="6"/>
  <c r="F119" i="6"/>
  <c r="F118" i="6"/>
  <c r="G123" i="6" s="1"/>
  <c r="F120" i="5"/>
  <c r="F118" i="5"/>
  <c r="G123" i="5" s="1"/>
  <c r="F137" i="5"/>
  <c r="F135" i="5"/>
  <c r="G140" i="5" s="1"/>
  <c r="H73" i="5"/>
  <c r="G76" i="5"/>
  <c r="H72" i="4"/>
  <c r="H74" i="4"/>
  <c r="E115" i="4"/>
  <c r="E116" i="4" s="1"/>
  <c r="E117" i="4"/>
  <c r="F108" i="4"/>
  <c r="F136" i="6" l="1"/>
  <c r="F136" i="5"/>
  <c r="F119" i="5"/>
  <c r="G76" i="4"/>
  <c r="H73" i="4"/>
  <c r="F117" i="4"/>
  <c r="F115" i="4"/>
  <c r="G120" i="4" l="1"/>
  <c r="F116" i="4"/>
</calcChain>
</file>

<file path=xl/sharedStrings.xml><?xml version="1.0" encoding="utf-8"?>
<sst xmlns="http://schemas.openxmlformats.org/spreadsheetml/2006/main" count="644" uniqueCount="147">
  <si>
    <t>HPLC System Suitability Report</t>
  </si>
  <si>
    <t>Analysis Data</t>
  </si>
  <si>
    <t>Assay</t>
  </si>
  <si>
    <t>Sample(s)</t>
  </si>
  <si>
    <t>Reference Substance:</t>
  </si>
  <si>
    <t>ARTEMESININ-BASED FIXED COMBINATION</t>
  </si>
  <si>
    <t>% age Purity:</t>
  </si>
  <si>
    <t>NDQD201508184</t>
  </si>
  <si>
    <t>Weight (mg):</t>
  </si>
  <si>
    <t>Artemether 80mg, Lumefantrine 480mg</t>
  </si>
  <si>
    <t>Standard Conc (mg/mL):</t>
  </si>
  <si>
    <t>Artemether 80 mg + Lumefantrine 480 mg per tablet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</si>
  <si>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</si>
  <si>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</si>
  <si>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</si>
  <si>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</si>
  <si>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</si>
  <si>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</si>
  <si>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</si>
  <si>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</si>
  <si>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</si>
  <si>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</si>
  <si>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</si>
  <si>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</si>
  <si>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</si>
  <si>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</si>
  <si>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</si>
  <si>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</si>
  <si>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</si>
  <si>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</si>
  <si>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</si>
  <si>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</si>
  <si>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</si>
  <si>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</si>
  <si>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</si>
  <si>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</si>
  <si>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</si>
  <si>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</si>
  <si>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</si>
  <si>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</si>
  <si>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</si>
  <si>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</si>
  <si>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</si>
  <si>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</si>
  <si>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</si>
  <si>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</si>
  <si>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</si>
  <si>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</si>
  <si>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</si>
  <si>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</si>
  <si>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</si>
  <si>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</si>
  <si>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</si>
  <si>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</si>
  <si>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</si>
  <si>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</si>
  <si>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</si>
  <si>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</si>
  <si>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</si>
  <si>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</si>
  <si>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</si>
  <si>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</si>
  <si>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</si>
  <si>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</si>
  <si>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</si>
  <si>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</si>
  <si>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</si>
  <si>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</si>
  <si>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</si>
  <si>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</si>
  <si>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</si>
  <si>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</si>
  <si>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</si>
  <si>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</si>
  <si>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</si>
  <si>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</si>
  <si>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</si>
  <si>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</si>
  <si>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</si>
  <si>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</si>
  <si>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</si>
  <si>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</si>
  <si>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</si>
  <si>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</si>
  <si>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</si>
  <si>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</si>
  <si>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</si>
  <si>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</si>
  <si>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</si>
  <si>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</si>
  <si>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</si>
  <si>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</si>
  <si>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</si>
  <si>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</si>
  <si>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</si>
  <si>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</si>
  <si>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</si>
  <si>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</si>
  <si>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</si>
  <si>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</si>
  <si>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</si>
  <si>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</si>
  <si>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</si>
  <si>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</si>
  <si>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</si>
  <si>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</si>
  <si>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</si>
  <si>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</si>
  <si>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</si>
  <si>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</si>
  <si>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</si>
  <si>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</si>
  <si>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</si>
  <si>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</si>
  <si>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</si>
  <si>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</si>
  <si>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</si>
  <si>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</si>
  <si>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</si>
  <si>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</si>
  <si>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</si>
  <si>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</si>
  <si>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</si>
  <si>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</si>
  <si>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F0J018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</si>
  <si>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</si>
  <si>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</si>
  <si>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</si>
  <si>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</si>
  <si>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</si>
  <si>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</si>
  <si>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</si>
  <si>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1hr</t>
  </si>
  <si>
    <t>tablet No.</t>
  </si>
  <si>
    <t>3hrs</t>
  </si>
  <si>
    <t>ARTEMETHER</t>
  </si>
  <si>
    <t>DISSOLUTION</t>
  </si>
  <si>
    <t xml:space="preserve">Lumefantrine </t>
  </si>
  <si>
    <t>WS/14/046</t>
  </si>
  <si>
    <t>29TH OCT 2015</t>
  </si>
  <si>
    <t>4TH Dec 2015</t>
  </si>
  <si>
    <t>JOYFRIDA</t>
  </si>
  <si>
    <t>4TH DEC 2015</t>
  </si>
  <si>
    <t>Joyfrida</t>
  </si>
  <si>
    <t>George</t>
  </si>
  <si>
    <t xml:space="preserve">S2 </t>
  </si>
  <si>
    <t>Dissolution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</si>
</sst>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0%"/>
  </numFmts>
  <fonts count="3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20"/>
      <name val="Book Antiqua"/>
      <family val="1"/>
    </font>
    <font>
      <b/>
      <sz val="14"/>
      <name val="Book Antiqua"/>
      <family val="1"/>
    </font>
    <font>
      <b/>
      <sz val="1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1" fillId="2" borderId="0"/>
    <xf numFmtId="0" fontId="30" fillId="2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3" xfId="0" applyFont="1" applyFill="1" applyBorder="1"/>
    <xf numFmtId="0" fontId="11" fillId="2" borderId="59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171" fontId="11" fillId="2" borderId="26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2" fontId="14" fillId="2" borderId="44" xfId="0" applyNumberFormat="1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3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0" fontId="13" fillId="7" borderId="46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23" fillId="3" borderId="0" xfId="0" applyFont="1" applyFill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26" fillId="3" borderId="3" xfId="0" applyFont="1" applyFill="1" applyBorder="1" applyAlignment="1" applyProtection="1">
      <alignment horizontal="center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0" fontId="27" fillId="3" borderId="29" xfId="0" applyFont="1" applyFill="1" applyBorder="1" applyAlignment="1" applyProtection="1">
      <alignment horizontal="center"/>
      <protection locked="0"/>
    </xf>
    <xf numFmtId="171" fontId="28" fillId="2" borderId="26" xfId="0" applyNumberFormat="1" applyFont="1" applyFill="1" applyBorder="1" applyAlignment="1">
      <alignment horizontal="center"/>
    </xf>
    <xf numFmtId="171" fontId="28" fillId="2" borderId="30" xfId="0" applyNumberFormat="1" applyFont="1" applyFill="1" applyBorder="1" applyAlignment="1">
      <alignment horizontal="center"/>
    </xf>
    <xf numFmtId="0" fontId="27" fillId="3" borderId="23" xfId="0" applyFont="1" applyFill="1" applyBorder="1" applyAlignment="1" applyProtection="1">
      <alignment horizontal="center"/>
      <protection locked="0"/>
    </xf>
    <xf numFmtId="0" fontId="27" fillId="3" borderId="34" xfId="0" applyFont="1" applyFill="1" applyBorder="1" applyAlignment="1" applyProtection="1">
      <alignment horizontal="center"/>
      <protection locked="0"/>
    </xf>
    <xf numFmtId="171" fontId="27" fillId="3" borderId="34" xfId="0" applyNumberFormat="1" applyFont="1" applyFill="1" applyBorder="1" applyAlignment="1" applyProtection="1">
      <alignment horizontal="center"/>
      <protection locked="0"/>
    </xf>
    <xf numFmtId="1" fontId="28" fillId="6" borderId="49" xfId="0" applyNumberFormat="1" applyFont="1" applyFill="1" applyBorder="1" applyAlignment="1">
      <alignment horizontal="center"/>
    </xf>
    <xf numFmtId="171" fontId="28" fillId="6" borderId="38" xfId="0" applyNumberFormat="1" applyFont="1" applyFill="1" applyBorder="1" applyAlignment="1">
      <alignment horizontal="center"/>
    </xf>
    <xf numFmtId="1" fontId="28" fillId="6" borderId="50" xfId="0" applyNumberFormat="1" applyFont="1" applyFill="1" applyBorder="1" applyAlignment="1">
      <alignment horizontal="center"/>
    </xf>
    <xf numFmtId="1" fontId="28" fillId="6" borderId="15" xfId="0" applyNumberFormat="1" applyFont="1" applyFill="1" applyBorder="1" applyAlignment="1">
      <alignment horizontal="center"/>
    </xf>
    <xf numFmtId="0" fontId="27" fillId="3" borderId="52" xfId="0" applyFont="1" applyFill="1" applyBorder="1" applyAlignment="1" applyProtection="1">
      <alignment horizontal="center"/>
      <protection locked="0"/>
    </xf>
    <xf numFmtId="0" fontId="28" fillId="2" borderId="0" xfId="0" applyFont="1" applyFill="1"/>
    <xf numFmtId="0" fontId="27" fillId="3" borderId="16" xfId="0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32" fillId="3" borderId="3" xfId="1" applyFont="1" applyFill="1" applyBorder="1" applyAlignment="1" applyProtection="1">
      <alignment horizontal="center"/>
      <protection locked="0"/>
    </xf>
    <xf numFmtId="2" fontId="32" fillId="3" borderId="3" xfId="1" applyNumberFormat="1" applyFont="1" applyFill="1" applyBorder="1" applyAlignment="1" applyProtection="1">
      <alignment horizontal="center"/>
      <protection locked="0"/>
    </xf>
    <xf numFmtId="2" fontId="32" fillId="3" borderId="4" xfId="1" applyNumberFormat="1" applyFont="1" applyFill="1" applyBorder="1" applyAlignment="1" applyProtection="1">
      <alignment horizontal="center"/>
      <protection locked="0"/>
    </xf>
    <xf numFmtId="0" fontId="32" fillId="3" borderId="5" xfId="1" applyFont="1" applyFill="1" applyBorder="1" applyAlignment="1" applyProtection="1">
      <alignment horizontal="center"/>
      <protection locked="0"/>
    </xf>
    <xf numFmtId="2" fontId="32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6" fontId="5" fillId="2" borderId="0" xfId="1" applyNumberFormat="1" applyFont="1" applyFill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1" fontId="5" fillId="4" borderId="1" xfId="1" applyNumberFormat="1" applyFont="1" applyFill="1" applyBorder="1" applyAlignment="1">
      <alignment horizontal="center"/>
    </xf>
    <xf numFmtId="0" fontId="1" fillId="2" borderId="10" xfId="1" applyFont="1" applyFill="1" applyBorder="1" applyAlignment="1"/>
    <xf numFmtId="0" fontId="1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7" xfId="1" applyFont="1" applyFill="1" applyBorder="1" applyAlignment="1">
      <alignment horizontal="center"/>
    </xf>
    <xf numFmtId="0" fontId="1" fillId="2" borderId="11" xfId="1" applyFont="1" applyFill="1" applyBorder="1"/>
    <xf numFmtId="15" fontId="1" fillId="2" borderId="11" xfId="1" applyNumberFormat="1" applyFont="1" applyFill="1" applyBorder="1" applyAlignment="1">
      <alignment horizontal="center"/>
    </xf>
    <xf numFmtId="0" fontId="2" fillId="2" borderId="11" xfId="1" applyFont="1" applyFill="1" applyBorder="1"/>
    <xf numFmtId="0" fontId="31" fillId="2" borderId="0" xfId="1" applyFill="1"/>
    <xf numFmtId="2" fontId="27" fillId="3" borderId="52" xfId="0" applyNumberFormat="1" applyFont="1" applyFill="1" applyBorder="1" applyAlignment="1" applyProtection="1">
      <alignment horizontal="center"/>
      <protection locked="0"/>
    </xf>
    <xf numFmtId="173" fontId="13" fillId="6" borderId="27" xfId="0" applyNumberFormat="1" applyFont="1" applyFill="1" applyBorder="1" applyAlignment="1">
      <alignment horizontal="center"/>
    </xf>
    <xf numFmtId="0" fontId="32" fillId="3" borderId="3" xfId="0" applyFont="1" applyFill="1" applyBorder="1" applyAlignment="1" applyProtection="1">
      <alignment horizontal="center"/>
      <protection locked="0"/>
    </xf>
    <xf numFmtId="2" fontId="32" fillId="3" borderId="3" xfId="0" applyNumberFormat="1" applyFont="1" applyFill="1" applyBorder="1" applyAlignment="1" applyProtection="1">
      <alignment horizontal="center"/>
      <protection locked="0"/>
    </xf>
    <xf numFmtId="2" fontId="32" fillId="3" borderId="4" xfId="0" applyNumberFormat="1" applyFont="1" applyFill="1" applyBorder="1" applyAlignment="1" applyProtection="1">
      <alignment horizontal="center"/>
      <protection locked="0"/>
    </xf>
    <xf numFmtId="0" fontId="32" fillId="3" borderId="5" xfId="0" applyFont="1" applyFill="1" applyBorder="1" applyAlignment="1" applyProtection="1">
      <alignment horizontal="center"/>
      <protection locked="0"/>
    </xf>
    <xf numFmtId="2" fontId="32" fillId="3" borderId="5" xfId="0" applyNumberFormat="1" applyFont="1" applyFill="1" applyBorder="1" applyAlignment="1" applyProtection="1">
      <alignment horizontal="center"/>
      <protection locked="0"/>
    </xf>
    <xf numFmtId="164" fontId="12" fillId="6" borderId="49" xfId="0" applyNumberFormat="1" applyFont="1" applyFill="1" applyBorder="1" applyAlignment="1">
      <alignment horizontal="center"/>
    </xf>
    <xf numFmtId="164" fontId="12" fillId="6" borderId="50" xfId="0" applyNumberFormat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4" fillId="2" borderId="1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2"/>
  <sheetViews>
    <sheetView view="pageBreakPreview" topLeftCell="A76" zoomScaleNormal="100" zoomScaleSheetLayoutView="100" workbookViewId="0">
      <selection activeCell="C96" sqref="C96"/>
    </sheetView>
  </sheetViews>
  <sheetFormatPr defaultRowHeight="13.5" x14ac:dyDescent="0.25"/>
  <cols>
    <col min="1" max="1" width="27.5703125" style="417" customWidth="1"/>
    <col min="2" max="2" width="28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1.5703125" style="417" customWidth="1"/>
    <col min="7" max="7" width="9.140625" style="417" customWidth="1"/>
    <col min="8" max="16384" width="9.140625" style="465"/>
  </cols>
  <sheetData>
    <row r="3" spans="1:5" ht="15" customHeight="1" x14ac:dyDescent="0.3">
      <c r="A3" s="416"/>
      <c r="C3" s="418"/>
    </row>
    <row r="4" spans="1:5" ht="18.75" customHeight="1" x14ac:dyDescent="0.3">
      <c r="A4" s="475" t="s">
        <v>0</v>
      </c>
      <c r="B4" s="475"/>
      <c r="C4" s="475"/>
      <c r="D4" s="475"/>
      <c r="E4" s="475"/>
    </row>
    <row r="5" spans="1:5" ht="16.5" customHeight="1" x14ac:dyDescent="0.3">
      <c r="A5" s="419" t="s">
        <v>1</v>
      </c>
      <c r="B5" s="420" t="s">
        <v>2</v>
      </c>
    </row>
    <row r="6" spans="1:5" ht="16.5" customHeight="1" x14ac:dyDescent="0.3">
      <c r="A6" s="421" t="s">
        <v>3</v>
      </c>
      <c r="B6" s="421" t="str">
        <f>'ARTEMETHER  (Diss Rpt) '!B18:C18</f>
        <v>ARTEMESININ-BASED FIXED COMBINATION</v>
      </c>
      <c r="D6" s="422"/>
      <c r="E6" s="423"/>
    </row>
    <row r="7" spans="1:5" ht="16.5" customHeight="1" x14ac:dyDescent="0.3">
      <c r="A7" s="424" t="s">
        <v>4</v>
      </c>
      <c r="B7" s="425" t="str">
        <f>'ARTEMETHER  (Diss Rpt) '!B26:C26</f>
        <v>ARTEMETHER</v>
      </c>
      <c r="C7" s="423"/>
      <c r="D7" s="423"/>
      <c r="E7" s="423"/>
    </row>
    <row r="8" spans="1:5" ht="16.5" customHeight="1" x14ac:dyDescent="0.3">
      <c r="A8" s="424" t="s">
        <v>6</v>
      </c>
      <c r="B8" s="426">
        <f>'ARTEMETHER  (Diss Rpt) '!B30</f>
        <v>99.8</v>
      </c>
      <c r="C8" s="423"/>
      <c r="D8" s="423"/>
      <c r="E8" s="423"/>
    </row>
    <row r="9" spans="1:5" ht="16.5" customHeight="1" x14ac:dyDescent="0.3">
      <c r="A9" s="421" t="s">
        <v>8</v>
      </c>
      <c r="B9" s="425">
        <f>'ARTEMETHER  (Diss Rpt) '!D43</f>
        <v>21.82</v>
      </c>
      <c r="C9" s="423"/>
      <c r="D9" s="423"/>
      <c r="E9" s="423"/>
    </row>
    <row r="10" spans="1:5" ht="16.5" customHeight="1" x14ac:dyDescent="0.3">
      <c r="A10" s="421" t="s">
        <v>10</v>
      </c>
      <c r="B10" s="427">
        <f>B9/'ARTEMETHER  (Diss Rpt) '!B45</f>
        <v>0.21820000000000001</v>
      </c>
      <c r="C10" s="423"/>
      <c r="D10" s="423"/>
      <c r="E10" s="423"/>
    </row>
    <row r="11" spans="1:5" ht="15.75" customHeight="1" x14ac:dyDescent="0.25">
      <c r="A11" s="423"/>
      <c r="B11" s="423"/>
      <c r="C11" s="423"/>
      <c r="D11" s="423"/>
      <c r="E11" s="423"/>
    </row>
    <row r="12" spans="1:5" ht="16.5" customHeight="1" x14ac:dyDescent="0.3">
      <c r="A12" s="428" t="s">
        <v>12</v>
      </c>
      <c r="B12" s="429" t="s">
        <v>13</v>
      </c>
      <c r="C12" s="428" t="s">
        <v>14</v>
      </c>
      <c r="D12" s="428" t="s">
        <v>15</v>
      </c>
      <c r="E12" s="428" t="s">
        <v>16</v>
      </c>
    </row>
    <row r="13" spans="1:5" ht="16.5" customHeight="1" x14ac:dyDescent="0.25">
      <c r="A13" s="430">
        <v>1</v>
      </c>
      <c r="B13" s="431">
        <v>2436275</v>
      </c>
      <c r="C13" s="432">
        <v>10953.9</v>
      </c>
      <c r="D13" s="432">
        <v>1.02</v>
      </c>
      <c r="E13" s="433">
        <v>5.63</v>
      </c>
    </row>
    <row r="14" spans="1:5" ht="16.5" customHeight="1" x14ac:dyDescent="0.25">
      <c r="A14" s="430">
        <v>2</v>
      </c>
      <c r="B14" s="431">
        <v>2433643</v>
      </c>
      <c r="C14" s="432">
        <v>10960.82</v>
      </c>
      <c r="D14" s="432">
        <v>1.02</v>
      </c>
      <c r="E14" s="432">
        <v>5.62</v>
      </c>
    </row>
    <row r="15" spans="1:5" ht="16.5" customHeight="1" x14ac:dyDescent="0.25">
      <c r="A15" s="430">
        <v>3</v>
      </c>
      <c r="B15" s="431">
        <v>2440825</v>
      </c>
      <c r="C15" s="432">
        <v>10882.21</v>
      </c>
      <c r="D15" s="432">
        <v>1</v>
      </c>
      <c r="E15" s="432">
        <v>5.63</v>
      </c>
    </row>
    <row r="16" spans="1:5" ht="16.5" customHeight="1" x14ac:dyDescent="0.25">
      <c r="A16" s="430">
        <v>4</v>
      </c>
      <c r="B16" s="431">
        <v>2444920</v>
      </c>
      <c r="C16" s="432">
        <v>10935.42</v>
      </c>
      <c r="D16" s="432">
        <v>1.02</v>
      </c>
      <c r="E16" s="432">
        <v>5.63</v>
      </c>
    </row>
    <row r="17" spans="1:5" ht="16.5" customHeight="1" x14ac:dyDescent="0.25">
      <c r="A17" s="430">
        <v>5</v>
      </c>
      <c r="B17" s="431">
        <v>2452603</v>
      </c>
      <c r="C17" s="432">
        <v>10967.62</v>
      </c>
      <c r="D17" s="432">
        <v>1.02</v>
      </c>
      <c r="E17" s="432">
        <v>5.63</v>
      </c>
    </row>
    <row r="18" spans="1:5" ht="16.5" customHeight="1" x14ac:dyDescent="0.25">
      <c r="A18" s="430">
        <v>6</v>
      </c>
      <c r="B18" s="434">
        <v>2440045</v>
      </c>
      <c r="C18" s="435">
        <v>10957.68</v>
      </c>
      <c r="D18" s="435">
        <v>1.03</v>
      </c>
      <c r="E18" s="435">
        <v>5.63</v>
      </c>
    </row>
    <row r="19" spans="1:5" ht="16.5" customHeight="1" x14ac:dyDescent="0.3">
      <c r="A19" s="436" t="s">
        <v>17</v>
      </c>
      <c r="B19" s="437">
        <f>AVERAGE(B13:B18)</f>
        <v>2441385.1666666665</v>
      </c>
      <c r="C19" s="438">
        <f>AVERAGE(C13:C18)</f>
        <v>10942.941666666666</v>
      </c>
      <c r="D19" s="438">
        <f>AVERAGE(D13:D18)</f>
        <v>1.0183333333333333</v>
      </c>
      <c r="E19" s="438">
        <f>AVERAGE(E13:E18)</f>
        <v>5.628333333333333</v>
      </c>
    </row>
    <row r="20" spans="1:5" ht="16.5" customHeight="1" x14ac:dyDescent="0.3">
      <c r="A20" s="439" t="s">
        <v>18</v>
      </c>
      <c r="B20" s="440">
        <f>(STDEV(B13:B18)/B19)</f>
        <v>2.7568455021685359E-3</v>
      </c>
      <c r="C20" s="441"/>
      <c r="D20" s="441"/>
      <c r="E20" s="442"/>
    </row>
    <row r="21" spans="1:5" s="417" customFormat="1" ht="16.5" customHeight="1" x14ac:dyDescent="0.3">
      <c r="A21" s="443" t="s">
        <v>19</v>
      </c>
      <c r="B21" s="444">
        <f>COUNT(B13:B18)</f>
        <v>6</v>
      </c>
      <c r="C21" s="445"/>
      <c r="D21" s="446"/>
      <c r="E21" s="447"/>
    </row>
    <row r="22" spans="1:5" s="417" customFormat="1" ht="15.75" customHeight="1" x14ac:dyDescent="0.25">
      <c r="A22" s="423"/>
      <c r="B22" s="423"/>
      <c r="C22" s="423"/>
      <c r="D22" s="423"/>
      <c r="E22" s="423"/>
    </row>
    <row r="23" spans="1:5" s="417" customFormat="1" ht="16.5" customHeight="1" x14ac:dyDescent="0.3">
      <c r="A23" s="424" t="s">
        <v>20</v>
      </c>
      <c r="B23" s="448" t="s">
        <v>21</v>
      </c>
      <c r="C23" s="449"/>
      <c r="D23" s="449"/>
      <c r="E23" s="449"/>
    </row>
    <row r="24" spans="1:5" ht="16.5" customHeight="1" x14ac:dyDescent="0.3">
      <c r="A24" s="424"/>
      <c r="B24" s="448" t="s">
        <v>22</v>
      </c>
      <c r="C24" s="449"/>
      <c r="D24" s="449"/>
      <c r="E24" s="449"/>
    </row>
    <row r="25" spans="1:5" ht="16.5" customHeight="1" x14ac:dyDescent="0.3">
      <c r="A25" s="424"/>
      <c r="B25" s="448" t="s">
        <v>23</v>
      </c>
      <c r="C25" s="449"/>
      <c r="D25" s="449"/>
      <c r="E25" s="449"/>
    </row>
    <row r="26" spans="1:5" s="417" customFormat="1" ht="15.75" customHeight="1" x14ac:dyDescent="0.25">
      <c r="A26" s="423"/>
      <c r="B26" s="423"/>
      <c r="C26" s="423"/>
      <c r="D26" s="423"/>
      <c r="E26" s="423"/>
    </row>
    <row r="27" spans="1:5" s="417" customFormat="1" ht="15.75" customHeight="1" x14ac:dyDescent="0.3">
      <c r="A27" s="419" t="s">
        <v>1</v>
      </c>
      <c r="B27" s="420" t="s">
        <v>24</v>
      </c>
    </row>
    <row r="28" spans="1:5" s="417" customFormat="1" ht="15.75" customHeight="1" x14ac:dyDescent="0.3">
      <c r="A28" s="424" t="s">
        <v>4</v>
      </c>
      <c r="B28" s="421" t="str">
        <f>ARTEMETHER!B82</f>
        <v>ARTEMETHER</v>
      </c>
      <c r="C28" s="423"/>
      <c r="D28" s="423"/>
      <c r="E28" s="423"/>
    </row>
    <row r="29" spans="1:5" s="417" customFormat="1" ht="15.75" customHeight="1" x14ac:dyDescent="0.3">
      <c r="A29" s="424" t="s">
        <v>6</v>
      </c>
      <c r="B29" s="425">
        <f>ARTEMETHER!B86</f>
        <v>99.8</v>
      </c>
      <c r="C29" s="423"/>
      <c r="D29" s="423"/>
      <c r="E29" s="423"/>
    </row>
    <row r="30" spans="1:5" s="417" customFormat="1" ht="15.75" customHeight="1" x14ac:dyDescent="0.3">
      <c r="A30" s="421" t="s">
        <v>8</v>
      </c>
      <c r="B30" s="425">
        <f>ARTEMETHER!D99</f>
        <v>23.92</v>
      </c>
      <c r="C30" s="423"/>
      <c r="D30" s="423"/>
      <c r="E30" s="423"/>
    </row>
    <row r="31" spans="1:5" s="417" customFormat="1" ht="15.75" customHeight="1" x14ac:dyDescent="0.3">
      <c r="A31" s="421" t="s">
        <v>10</v>
      </c>
      <c r="B31" s="450">
        <f>B30/ARTEMETHER!B101</f>
        <v>2.392E-2</v>
      </c>
      <c r="C31" s="423"/>
      <c r="D31" s="423"/>
      <c r="E31" s="423"/>
    </row>
    <row r="32" spans="1:5" s="417" customFormat="1" ht="15.75" customHeight="1" x14ac:dyDescent="0.25">
      <c r="A32" s="423"/>
      <c r="B32" s="423"/>
      <c r="C32" s="423"/>
      <c r="D32" s="423"/>
      <c r="E32" s="423"/>
    </row>
    <row r="33" spans="1:5" s="417" customFormat="1" ht="15.75" customHeight="1" x14ac:dyDescent="0.3">
      <c r="A33" s="428" t="s">
        <v>12</v>
      </c>
      <c r="B33" s="429" t="s">
        <v>13</v>
      </c>
      <c r="C33" s="428" t="s">
        <v>14</v>
      </c>
      <c r="D33" s="428" t="s">
        <v>15</v>
      </c>
      <c r="E33" s="428" t="s">
        <v>16</v>
      </c>
    </row>
    <row r="34" spans="1:5" s="417" customFormat="1" ht="15.75" customHeight="1" x14ac:dyDescent="0.25">
      <c r="A34" s="430">
        <v>1</v>
      </c>
      <c r="B34" s="468">
        <v>1567219</v>
      </c>
      <c r="C34" s="468">
        <v>12905.23</v>
      </c>
      <c r="D34" s="469">
        <v>0.98</v>
      </c>
      <c r="E34" s="470">
        <v>9.02</v>
      </c>
    </row>
    <row r="35" spans="1:5" s="417" customFormat="1" ht="15.75" customHeight="1" x14ac:dyDescent="0.25">
      <c r="A35" s="430">
        <v>2</v>
      </c>
      <c r="B35" s="468">
        <v>1564818</v>
      </c>
      <c r="C35" s="468">
        <v>12730.26</v>
      </c>
      <c r="D35" s="469">
        <v>0.98</v>
      </c>
      <c r="E35" s="469">
        <v>9.02</v>
      </c>
    </row>
    <row r="36" spans="1:5" s="417" customFormat="1" ht="15.75" customHeight="1" x14ac:dyDescent="0.25">
      <c r="A36" s="430">
        <v>3</v>
      </c>
      <c r="B36" s="468">
        <v>1566946</v>
      </c>
      <c r="C36" s="468">
        <v>12589.65</v>
      </c>
      <c r="D36" s="469">
        <v>0.97</v>
      </c>
      <c r="E36" s="469">
        <v>9.02</v>
      </c>
    </row>
    <row r="37" spans="1:5" s="417" customFormat="1" ht="15.75" customHeight="1" x14ac:dyDescent="0.25">
      <c r="A37" s="430">
        <v>4</v>
      </c>
      <c r="B37" s="468">
        <v>1566543</v>
      </c>
      <c r="C37" s="468">
        <v>12508.57</v>
      </c>
      <c r="D37" s="469">
        <v>0.97</v>
      </c>
      <c r="E37" s="469">
        <v>9.02</v>
      </c>
    </row>
    <row r="38" spans="1:5" s="417" customFormat="1" ht="15.75" customHeight="1" x14ac:dyDescent="0.25">
      <c r="A38" s="430">
        <v>5</v>
      </c>
      <c r="B38" s="468">
        <v>1564489</v>
      </c>
      <c r="C38" s="468">
        <v>12388.38</v>
      </c>
      <c r="D38" s="469">
        <v>0.97</v>
      </c>
      <c r="E38" s="469">
        <v>9.02</v>
      </c>
    </row>
    <row r="39" spans="1:5" s="417" customFormat="1" ht="15.75" customHeight="1" x14ac:dyDescent="0.25">
      <c r="A39" s="430">
        <v>6</v>
      </c>
      <c r="B39" s="471">
        <v>1563373</v>
      </c>
      <c r="C39" s="471">
        <v>12421.91</v>
      </c>
      <c r="D39" s="472">
        <v>0.96</v>
      </c>
      <c r="E39" s="472">
        <v>9.02</v>
      </c>
    </row>
    <row r="40" spans="1:5" s="417" customFormat="1" ht="15.75" customHeight="1" x14ac:dyDescent="0.3">
      <c r="A40" s="436" t="s">
        <v>17</v>
      </c>
      <c r="B40" s="437">
        <f>AVERAGE(B34:B39)</f>
        <v>1565564.6666666667</v>
      </c>
      <c r="C40" s="456">
        <v>12247.41</v>
      </c>
      <c r="D40" s="438">
        <f>AVERAGE(D34:D39)</f>
        <v>0.97166666666666657</v>
      </c>
      <c r="E40" s="438">
        <f>AVERAGE(E34:E39)</f>
        <v>9.0199999999999978</v>
      </c>
    </row>
    <row r="41" spans="1:5" s="417" customFormat="1" ht="15.75" customHeight="1" x14ac:dyDescent="0.3">
      <c r="A41" s="439" t="s">
        <v>18</v>
      </c>
      <c r="B41" s="440">
        <f>(STDEV(B34:B39)/B40)</f>
        <v>9.9447864984795542E-4</v>
      </c>
      <c r="C41" s="441"/>
      <c r="D41" s="441"/>
      <c r="E41" s="442"/>
    </row>
    <row r="42" spans="1:5" s="417" customFormat="1" ht="15.75" customHeight="1" x14ac:dyDescent="0.3">
      <c r="A42" s="443" t="s">
        <v>19</v>
      </c>
      <c r="B42" s="444">
        <f>COUNT(B34:B39)</f>
        <v>6</v>
      </c>
      <c r="C42" s="445"/>
      <c r="D42" s="446"/>
      <c r="E42" s="447"/>
    </row>
    <row r="43" spans="1:5" s="417" customFormat="1" ht="15.75" customHeight="1" x14ac:dyDescent="0.25">
      <c r="A43" s="423"/>
      <c r="B43" s="423"/>
      <c r="C43" s="423"/>
      <c r="D43" s="423"/>
      <c r="E43" s="423"/>
    </row>
    <row r="44" spans="1:5" s="417" customFormat="1" ht="15.75" customHeight="1" x14ac:dyDescent="0.3">
      <c r="A44" s="424" t="s">
        <v>20</v>
      </c>
      <c r="B44" s="448" t="s">
        <v>21</v>
      </c>
      <c r="C44" s="449"/>
      <c r="D44" s="449"/>
      <c r="E44" s="449"/>
    </row>
    <row r="45" spans="1:5" s="417" customFormat="1" ht="15.75" customHeight="1" x14ac:dyDescent="0.3">
      <c r="A45" s="424"/>
      <c r="B45" s="448" t="s">
        <v>22</v>
      </c>
      <c r="C45" s="449"/>
      <c r="D45" s="449"/>
      <c r="E45" s="449"/>
    </row>
    <row r="46" spans="1:5" s="417" customFormat="1" ht="15.75" customHeight="1" x14ac:dyDescent="0.3">
      <c r="A46" s="424"/>
      <c r="B46" s="448" t="s">
        <v>23</v>
      </c>
      <c r="C46" s="449"/>
      <c r="D46" s="449"/>
      <c r="E46" s="449"/>
    </row>
    <row r="47" spans="1:5" s="417" customFormat="1" ht="15.75" customHeight="1" x14ac:dyDescent="0.3">
      <c r="A47" s="424"/>
      <c r="B47" s="448"/>
      <c r="C47" s="449"/>
      <c r="D47" s="449"/>
      <c r="E47" s="449"/>
    </row>
    <row r="48" spans="1:5" s="417" customFormat="1" ht="16.5" customHeight="1" x14ac:dyDescent="0.3">
      <c r="A48" s="419" t="s">
        <v>1</v>
      </c>
      <c r="B48" s="420" t="s">
        <v>146</v>
      </c>
    </row>
    <row r="49" spans="1:5" s="417" customFormat="1" ht="16.5" customHeight="1" x14ac:dyDescent="0.3">
      <c r="A49" s="424" t="s">
        <v>4</v>
      </c>
      <c r="B49" s="421" t="str">
        <f>'ARTEMETHER  (Diss Rpt) '!B82:C82</f>
        <v>ARTEMETHER</v>
      </c>
      <c r="C49" s="423"/>
      <c r="D49" s="423"/>
      <c r="E49" s="423"/>
    </row>
    <row r="50" spans="1:5" s="417" customFormat="1" ht="16.5" customHeight="1" x14ac:dyDescent="0.3">
      <c r="A50" s="424" t="s">
        <v>6</v>
      </c>
      <c r="B50" s="425">
        <f>'ARTEMETHER  (Diss Rpt) '!B86</f>
        <v>99.8</v>
      </c>
      <c r="C50" s="423"/>
      <c r="D50" s="423"/>
      <c r="E50" s="423"/>
    </row>
    <row r="51" spans="1:5" s="417" customFormat="1" ht="16.5" customHeight="1" x14ac:dyDescent="0.3">
      <c r="A51" s="421" t="s">
        <v>8</v>
      </c>
      <c r="B51" s="425">
        <f>'ARTEMETHER  (Diss Rpt) '!D99</f>
        <v>22</v>
      </c>
      <c r="C51" s="423"/>
      <c r="D51" s="423"/>
      <c r="E51" s="423"/>
    </row>
    <row r="52" spans="1:5" s="417" customFormat="1" ht="16.5" customHeight="1" x14ac:dyDescent="0.3">
      <c r="A52" s="421" t="s">
        <v>10</v>
      </c>
      <c r="B52" s="450">
        <f>B51/'ARTEMETHER  (Diss Rpt) '!B101</f>
        <v>2.1999999999999999E-2</v>
      </c>
      <c r="C52" s="423"/>
      <c r="D52" s="423"/>
      <c r="E52" s="423"/>
    </row>
    <row r="53" spans="1:5" s="417" customFormat="1" ht="15.75" customHeight="1" x14ac:dyDescent="0.25">
      <c r="A53" s="423"/>
      <c r="B53" s="423"/>
      <c r="C53" s="423"/>
      <c r="D53" s="423"/>
      <c r="E53" s="423"/>
    </row>
    <row r="54" spans="1:5" s="417" customFormat="1" ht="16.5" customHeight="1" x14ac:dyDescent="0.3">
      <c r="A54" s="428" t="s">
        <v>12</v>
      </c>
      <c r="B54" s="429" t="s">
        <v>13</v>
      </c>
      <c r="C54" s="428" t="s">
        <v>14</v>
      </c>
      <c r="D54" s="428" t="s">
        <v>15</v>
      </c>
      <c r="E54" s="428" t="s">
        <v>16</v>
      </c>
    </row>
    <row r="55" spans="1:5" s="417" customFormat="1" ht="16.5" customHeight="1" x14ac:dyDescent="0.3">
      <c r="A55" s="430">
        <v>1</v>
      </c>
      <c r="B55" s="451">
        <v>987944</v>
      </c>
      <c r="C55" s="451">
        <v>15290.14</v>
      </c>
      <c r="D55" s="452">
        <v>1.07</v>
      </c>
      <c r="E55" s="453">
        <v>7.41</v>
      </c>
    </row>
    <row r="56" spans="1:5" s="417" customFormat="1" ht="16.5" customHeight="1" x14ac:dyDescent="0.3">
      <c r="A56" s="430">
        <v>2</v>
      </c>
      <c r="B56" s="451">
        <v>983006</v>
      </c>
      <c r="C56" s="451">
        <v>15278.85</v>
      </c>
      <c r="D56" s="452">
        <v>1.06</v>
      </c>
      <c r="E56" s="452">
        <v>7.41</v>
      </c>
    </row>
    <row r="57" spans="1:5" s="417" customFormat="1" ht="16.5" customHeight="1" x14ac:dyDescent="0.3">
      <c r="A57" s="430">
        <v>3</v>
      </c>
      <c r="B57" s="451">
        <v>985639</v>
      </c>
      <c r="C57" s="451">
        <v>15329.16</v>
      </c>
      <c r="D57" s="452">
        <v>1.08</v>
      </c>
      <c r="E57" s="452">
        <v>7.41</v>
      </c>
    </row>
    <row r="58" spans="1:5" s="417" customFormat="1" ht="16.5" customHeight="1" x14ac:dyDescent="0.3">
      <c r="A58" s="430">
        <v>4</v>
      </c>
      <c r="B58" s="451">
        <v>979461</v>
      </c>
      <c r="C58" s="451">
        <v>15372.52</v>
      </c>
      <c r="D58" s="452">
        <v>1.07</v>
      </c>
      <c r="E58" s="452">
        <v>7.41</v>
      </c>
    </row>
    <row r="59" spans="1:5" s="417" customFormat="1" ht="16.5" customHeight="1" x14ac:dyDescent="0.3">
      <c r="A59" s="430">
        <v>5</v>
      </c>
      <c r="B59" s="451">
        <v>980665</v>
      </c>
      <c r="C59" s="451">
        <v>15319.31</v>
      </c>
      <c r="D59" s="452">
        <v>1.07</v>
      </c>
      <c r="E59" s="452">
        <v>7.41</v>
      </c>
    </row>
    <row r="60" spans="1:5" s="417" customFormat="1" ht="16.5" customHeight="1" x14ac:dyDescent="0.3">
      <c r="A60" s="430">
        <v>6</v>
      </c>
      <c r="B60" s="454">
        <v>980975</v>
      </c>
      <c r="C60" s="454">
        <v>15284.24</v>
      </c>
      <c r="D60" s="455">
        <v>1.07</v>
      </c>
      <c r="E60" s="455">
        <v>7.41</v>
      </c>
    </row>
    <row r="61" spans="1:5" s="417" customFormat="1" ht="16.5" customHeight="1" x14ac:dyDescent="0.3">
      <c r="A61" s="436" t="s">
        <v>17</v>
      </c>
      <c r="B61" s="437">
        <f>AVERAGE(B55:B60)</f>
        <v>982948.33333333337</v>
      </c>
      <c r="C61" s="456">
        <v>12247.41</v>
      </c>
      <c r="D61" s="438">
        <f>AVERAGE(D55:D60)</f>
        <v>1.07</v>
      </c>
      <c r="E61" s="438">
        <f>AVERAGE(E55:E60)</f>
        <v>7.4099999999999993</v>
      </c>
    </row>
    <row r="62" spans="1:5" s="417" customFormat="1" ht="16.5" customHeight="1" x14ac:dyDescent="0.3">
      <c r="A62" s="439" t="s">
        <v>18</v>
      </c>
      <c r="B62" s="440">
        <f>(STDEV(B55:B60)/B61)</f>
        <v>3.3268614762095631E-3</v>
      </c>
      <c r="C62" s="441"/>
      <c r="D62" s="441"/>
      <c r="E62" s="442"/>
    </row>
    <row r="63" spans="1:5" s="417" customFormat="1" ht="16.5" customHeight="1" x14ac:dyDescent="0.3">
      <c r="A63" s="443" t="s">
        <v>19</v>
      </c>
      <c r="B63" s="444">
        <f>COUNT(B55:B60)</f>
        <v>6</v>
      </c>
      <c r="C63" s="445"/>
      <c r="D63" s="446"/>
      <c r="E63" s="447"/>
    </row>
    <row r="64" spans="1:5" s="417" customFormat="1" ht="15.75" customHeight="1" x14ac:dyDescent="0.25">
      <c r="A64" s="423"/>
      <c r="B64" s="423"/>
      <c r="C64" s="423"/>
      <c r="D64" s="423"/>
      <c r="E64" s="423"/>
    </row>
    <row r="65" spans="1:5" s="417" customFormat="1" ht="16.5" customHeight="1" x14ac:dyDescent="0.3">
      <c r="A65" s="424" t="s">
        <v>20</v>
      </c>
      <c r="B65" s="448" t="s">
        <v>21</v>
      </c>
      <c r="C65" s="449"/>
      <c r="D65" s="449"/>
      <c r="E65" s="449"/>
    </row>
    <row r="66" spans="1:5" s="417" customFormat="1" ht="16.5" customHeight="1" x14ac:dyDescent="0.3">
      <c r="A66" s="424"/>
      <c r="B66" s="448" t="s">
        <v>22</v>
      </c>
      <c r="C66" s="449"/>
      <c r="D66" s="449"/>
      <c r="E66" s="449"/>
    </row>
    <row r="67" spans="1:5" s="417" customFormat="1" ht="16.5" customHeight="1" x14ac:dyDescent="0.3">
      <c r="A67" s="424"/>
      <c r="B67" s="448" t="s">
        <v>23</v>
      </c>
      <c r="C67" s="449"/>
      <c r="D67" s="449"/>
      <c r="E67" s="449"/>
    </row>
    <row r="68" spans="1:5" s="417" customFormat="1" ht="16.5" customHeight="1" x14ac:dyDescent="0.3">
      <c r="A68" s="424"/>
      <c r="B68" s="448"/>
      <c r="C68" s="449"/>
      <c r="D68" s="449"/>
      <c r="E68" s="449"/>
    </row>
    <row r="69" spans="1:5" s="417" customFormat="1" ht="16.5" customHeight="1" x14ac:dyDescent="0.3">
      <c r="A69" s="419" t="s">
        <v>1</v>
      </c>
      <c r="B69" s="420" t="s">
        <v>2</v>
      </c>
    </row>
    <row r="70" spans="1:5" s="417" customFormat="1" ht="16.5" customHeight="1" x14ac:dyDescent="0.3">
      <c r="A70" s="421" t="s">
        <v>3</v>
      </c>
      <c r="B70" s="421" t="str">
        <f>B6</f>
        <v>ARTEMESININ-BASED FIXED COMBINATION</v>
      </c>
      <c r="D70" s="422"/>
      <c r="E70" s="423"/>
    </row>
    <row r="71" spans="1:5" s="417" customFormat="1" ht="16.5" customHeight="1" x14ac:dyDescent="0.3">
      <c r="A71" s="424" t="s">
        <v>4</v>
      </c>
      <c r="B71" s="425" t="str">
        <f>LUMEFANTRINE!B26</f>
        <v xml:space="preserve">Lumefantrine </v>
      </c>
      <c r="C71" s="423"/>
      <c r="D71" s="423"/>
      <c r="E71" s="423"/>
    </row>
    <row r="72" spans="1:5" s="417" customFormat="1" ht="16.5" customHeight="1" x14ac:dyDescent="0.3">
      <c r="A72" s="424" t="s">
        <v>6</v>
      </c>
      <c r="B72" s="426">
        <f>LUMEFANTRINE!B30</f>
        <v>100.2</v>
      </c>
      <c r="C72" s="423"/>
      <c r="D72" s="423"/>
      <c r="E72" s="423"/>
    </row>
    <row r="73" spans="1:5" s="417" customFormat="1" ht="16.5" customHeight="1" x14ac:dyDescent="0.3">
      <c r="A73" s="421" t="s">
        <v>8</v>
      </c>
      <c r="B73" s="425">
        <f>LUMEFANTRINE!D43</f>
        <v>16.170000000000002</v>
      </c>
      <c r="C73" s="423"/>
      <c r="D73" s="423"/>
      <c r="E73" s="423"/>
    </row>
    <row r="74" spans="1:5" s="417" customFormat="1" ht="16.5" customHeight="1" x14ac:dyDescent="0.3">
      <c r="A74" s="421" t="s">
        <v>10</v>
      </c>
      <c r="B74" s="427">
        <f>B73/LUMEFANTRINE!B45</f>
        <v>6.4680000000000001E-2</v>
      </c>
      <c r="C74" s="423"/>
      <c r="D74" s="423"/>
      <c r="E74" s="423"/>
    </row>
    <row r="75" spans="1:5" s="417" customFormat="1" ht="16.5" customHeight="1" x14ac:dyDescent="0.25">
      <c r="A75" s="423"/>
      <c r="B75" s="423"/>
      <c r="C75" s="423"/>
      <c r="D75" s="423"/>
      <c r="E75" s="423"/>
    </row>
    <row r="76" spans="1:5" s="417" customFormat="1" ht="16.5" customHeight="1" x14ac:dyDescent="0.3">
      <c r="A76" s="428" t="s">
        <v>12</v>
      </c>
      <c r="B76" s="429" t="s">
        <v>13</v>
      </c>
      <c r="C76" s="428" t="s">
        <v>14</v>
      </c>
      <c r="D76" s="428" t="s">
        <v>15</v>
      </c>
      <c r="E76" s="428" t="s">
        <v>16</v>
      </c>
    </row>
    <row r="77" spans="1:5" s="417" customFormat="1" ht="16.5" customHeight="1" x14ac:dyDescent="0.25">
      <c r="A77" s="430">
        <v>1</v>
      </c>
      <c r="B77" s="431">
        <v>7476000</v>
      </c>
      <c r="C77" s="432">
        <v>3926.73</v>
      </c>
      <c r="D77" s="432">
        <v>0.97</v>
      </c>
      <c r="E77" s="433">
        <v>3.8</v>
      </c>
    </row>
    <row r="78" spans="1:5" s="417" customFormat="1" ht="16.5" customHeight="1" x14ac:dyDescent="0.25">
      <c r="A78" s="430">
        <v>2</v>
      </c>
      <c r="B78" s="431">
        <v>7495659</v>
      </c>
      <c r="C78" s="432">
        <v>3906.2</v>
      </c>
      <c r="D78" s="432">
        <v>0.97</v>
      </c>
      <c r="E78" s="432">
        <v>3.8</v>
      </c>
    </row>
    <row r="79" spans="1:5" s="417" customFormat="1" ht="16.5" customHeight="1" x14ac:dyDescent="0.25">
      <c r="A79" s="430">
        <v>3</v>
      </c>
      <c r="B79" s="431">
        <v>7500415</v>
      </c>
      <c r="C79" s="432">
        <v>3890.42</v>
      </c>
      <c r="D79" s="432">
        <v>0.96</v>
      </c>
      <c r="E79" s="432">
        <v>3.8</v>
      </c>
    </row>
    <row r="80" spans="1:5" s="417" customFormat="1" ht="16.5" customHeight="1" x14ac:dyDescent="0.25">
      <c r="A80" s="430">
        <v>4</v>
      </c>
      <c r="B80" s="431">
        <v>7507896</v>
      </c>
      <c r="C80" s="432">
        <v>3900.71</v>
      </c>
      <c r="D80" s="432">
        <v>0.96</v>
      </c>
      <c r="E80" s="432">
        <v>3.8</v>
      </c>
    </row>
    <row r="81" spans="1:5" s="417" customFormat="1" ht="16.5" customHeight="1" x14ac:dyDescent="0.25">
      <c r="A81" s="430">
        <v>5</v>
      </c>
      <c r="B81" s="431">
        <v>7515115</v>
      </c>
      <c r="C81" s="432">
        <v>3894.7</v>
      </c>
      <c r="D81" s="432">
        <v>0.96</v>
      </c>
      <c r="E81" s="432">
        <v>3.8</v>
      </c>
    </row>
    <row r="82" spans="1:5" s="417" customFormat="1" ht="16.5" customHeight="1" x14ac:dyDescent="0.25">
      <c r="A82" s="430">
        <v>6</v>
      </c>
      <c r="B82" s="434">
        <v>7507986</v>
      </c>
      <c r="C82" s="435">
        <v>3895.21</v>
      </c>
      <c r="D82" s="435">
        <v>0.98</v>
      </c>
      <c r="E82" s="435">
        <v>3.8</v>
      </c>
    </row>
    <row r="83" spans="1:5" s="417" customFormat="1" ht="16.5" customHeight="1" x14ac:dyDescent="0.3">
      <c r="A83" s="436" t="s">
        <v>17</v>
      </c>
      <c r="B83" s="437">
        <f>AVERAGE(B77:B82)</f>
        <v>7500511.833333333</v>
      </c>
      <c r="C83" s="438">
        <f>AVERAGE(C77:C82)</f>
        <v>3902.3283333333334</v>
      </c>
      <c r="D83" s="438">
        <f>AVERAGE(D77:D82)</f>
        <v>0.96666666666666679</v>
      </c>
      <c r="E83" s="438">
        <f>AVERAGE(E77:E82)</f>
        <v>3.8000000000000003</v>
      </c>
    </row>
    <row r="84" spans="1:5" s="417" customFormat="1" ht="16.5" customHeight="1" x14ac:dyDescent="0.3">
      <c r="A84" s="439" t="s">
        <v>18</v>
      </c>
      <c r="B84" s="440">
        <f>(STDEV(B77:B82)/B83)</f>
        <v>1.8358421819301941E-3</v>
      </c>
      <c r="C84" s="441"/>
      <c r="D84" s="441"/>
      <c r="E84" s="442"/>
    </row>
    <row r="85" spans="1:5" s="417" customFormat="1" ht="16.5" customHeight="1" x14ac:dyDescent="0.3">
      <c r="A85" s="443" t="s">
        <v>19</v>
      </c>
      <c r="B85" s="444">
        <f>COUNT(B77:B82)</f>
        <v>6</v>
      </c>
      <c r="C85" s="445"/>
      <c r="D85" s="446"/>
      <c r="E85" s="447"/>
    </row>
    <row r="86" spans="1:5" s="417" customFormat="1" ht="16.5" customHeight="1" x14ac:dyDescent="0.25">
      <c r="A86" s="423"/>
      <c r="B86" s="423"/>
      <c r="C86" s="423"/>
      <c r="D86" s="423"/>
      <c r="E86" s="423"/>
    </row>
    <row r="87" spans="1:5" s="417" customFormat="1" ht="16.5" customHeight="1" x14ac:dyDescent="0.3">
      <c r="A87" s="424" t="s">
        <v>20</v>
      </c>
      <c r="B87" s="448" t="s">
        <v>21</v>
      </c>
      <c r="C87" s="449"/>
      <c r="D87" s="449"/>
      <c r="E87" s="449"/>
    </row>
    <row r="88" spans="1:5" s="417" customFormat="1" ht="16.5" customHeight="1" x14ac:dyDescent="0.3">
      <c r="A88" s="424"/>
      <c r="B88" s="448" t="s">
        <v>22</v>
      </c>
      <c r="C88" s="449"/>
      <c r="D88" s="449"/>
      <c r="E88" s="449"/>
    </row>
    <row r="89" spans="1:5" s="417" customFormat="1" ht="16.5" customHeight="1" thickBot="1" x14ac:dyDescent="0.35">
      <c r="A89" s="424"/>
      <c r="B89" s="448" t="s">
        <v>23</v>
      </c>
      <c r="C89" s="449"/>
      <c r="D89" s="449"/>
      <c r="E89" s="449"/>
    </row>
    <row r="90" spans="1:5" s="417" customFormat="1" ht="15" customHeight="1" x14ac:dyDescent="0.3">
      <c r="B90" s="457" t="s">
        <v>25</v>
      </c>
      <c r="C90" s="458" t="s">
        <v>26</v>
      </c>
      <c r="E90" s="458" t="s">
        <v>27</v>
      </c>
    </row>
    <row r="91" spans="1:5" s="417" customFormat="1" ht="15" customHeight="1" x14ac:dyDescent="0.3">
      <c r="A91" s="459" t="s">
        <v>28</v>
      </c>
      <c r="B91" s="460" t="s">
        <v>143</v>
      </c>
      <c r="C91" s="461"/>
      <c r="E91" s="460"/>
    </row>
    <row r="92" spans="1:5" s="417" customFormat="1" ht="15" customHeight="1" x14ac:dyDescent="0.3">
      <c r="A92" s="459" t="s">
        <v>29</v>
      </c>
      <c r="B92" s="462" t="s">
        <v>144</v>
      </c>
      <c r="C92" s="463">
        <v>42360</v>
      </c>
      <c r="E92" s="464"/>
    </row>
  </sheetData>
  <sheetProtection formatCells="0" formatColumns="0" formatRows="0" insertColumns="0" insertRows="0" insertHyperlinks="0" deleteColumns="0" deleteRows="0" sort="0" autoFilter="0" pivotTables="0"/>
  <mergeCells count="1">
    <mergeCell ref="A4:E4"/>
  </mergeCells>
  <pageMargins left="0.7" right="0.7" top="0.75" bottom="0.75" header="0.3" footer="0.3"/>
  <pageSetup paperSize="9" scale="48" orientation="portrait" r:id="rId1"/>
  <rowBreaks count="1" manualBreakCount="1">
    <brk id="92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8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7.710937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9" t="s">
        <v>30</v>
      </c>
      <c r="B11" s="480"/>
      <c r="C11" s="480"/>
      <c r="D11" s="480"/>
      <c r="E11" s="480"/>
      <c r="F11" s="481"/>
      <c r="G11" s="45"/>
    </row>
    <row r="12" spans="1:7" ht="16.5" customHeight="1" x14ac:dyDescent="0.3">
      <c r="A12" s="478" t="s">
        <v>31</v>
      </c>
      <c r="B12" s="478"/>
      <c r="C12" s="478"/>
      <c r="D12" s="478"/>
      <c r="E12" s="478"/>
      <c r="F12" s="478"/>
      <c r="G12" s="44"/>
    </row>
    <row r="14" spans="1:7" ht="16.5" customHeight="1" x14ac:dyDescent="0.3">
      <c r="A14" s="483" t="s">
        <v>32</v>
      </c>
      <c r="B14" s="483"/>
      <c r="C14" s="14" t="s">
        <v>5</v>
      </c>
    </row>
    <row r="15" spans="1:7" ht="16.5" customHeight="1" x14ac:dyDescent="0.3">
      <c r="A15" s="483" t="s">
        <v>33</v>
      </c>
      <c r="B15" s="483"/>
      <c r="C15" s="14" t="s">
        <v>7</v>
      </c>
    </row>
    <row r="16" spans="1:7" ht="16.5" customHeight="1" x14ac:dyDescent="0.3">
      <c r="A16" s="483" t="s">
        <v>34</v>
      </c>
      <c r="B16" s="483"/>
      <c r="C16" s="14" t="s">
        <v>9</v>
      </c>
    </row>
    <row r="17" spans="1:5" ht="16.5" customHeight="1" x14ac:dyDescent="0.3">
      <c r="A17" s="483" t="s">
        <v>35</v>
      </c>
      <c r="B17" s="483"/>
      <c r="C17" s="14" t="s">
        <v>11</v>
      </c>
    </row>
    <row r="18" spans="1:5" ht="16.5" customHeight="1" x14ac:dyDescent="0.3">
      <c r="A18" s="483" t="s">
        <v>36</v>
      </c>
      <c r="B18" s="483"/>
      <c r="C18" s="51" t="str">
        <f>ARTEMETHER!B22</f>
        <v>29TH OCT 2015</v>
      </c>
    </row>
    <row r="19" spans="1:5" ht="16.5" customHeight="1" x14ac:dyDescent="0.3">
      <c r="A19" s="483" t="s">
        <v>37</v>
      </c>
      <c r="B19" s="483"/>
      <c r="C19" s="51" t="str">
        <f>ARTEMETHER!B23</f>
        <v>4TH Dec 2015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478" t="s">
        <v>1</v>
      </c>
      <c r="B21" s="478"/>
      <c r="C21" s="13" t="s">
        <v>38</v>
      </c>
      <c r="D21" s="20"/>
    </row>
    <row r="22" spans="1:5" ht="15.75" customHeight="1" x14ac:dyDescent="0.3">
      <c r="A22" s="482"/>
      <c r="B22" s="482"/>
      <c r="C22" s="11"/>
      <c r="D22" s="482"/>
      <c r="E22" s="482"/>
    </row>
    <row r="23" spans="1:5" ht="33.75" customHeight="1" x14ac:dyDescent="0.3">
      <c r="C23" s="40" t="s">
        <v>39</v>
      </c>
      <c r="D23" s="39" t="s">
        <v>40</v>
      </c>
      <c r="E23" s="6"/>
    </row>
    <row r="24" spans="1:5" ht="15.75" customHeight="1" x14ac:dyDescent="0.3">
      <c r="C24" s="49">
        <v>698.79</v>
      </c>
      <c r="D24" s="41">
        <f t="shared" ref="D24:D43" si="0">(C24-$C$46)/$C$46</f>
        <v>-1.2090868961474754E-4</v>
      </c>
      <c r="E24" s="7"/>
    </row>
    <row r="25" spans="1:5" ht="15.75" customHeight="1" x14ac:dyDescent="0.3">
      <c r="C25" s="49">
        <v>716.74</v>
      </c>
      <c r="D25" s="42">
        <f t="shared" si="0"/>
        <v>2.5563244903054668E-2</v>
      </c>
      <c r="E25" s="7"/>
    </row>
    <row r="26" spans="1:5" ht="15.75" customHeight="1" x14ac:dyDescent="0.3">
      <c r="C26" s="49">
        <v>716.5</v>
      </c>
      <c r="D26" s="42">
        <f t="shared" si="0"/>
        <v>2.5219835607108103E-2</v>
      </c>
      <c r="E26" s="7"/>
    </row>
    <row r="27" spans="1:5" ht="15.75" customHeight="1" x14ac:dyDescent="0.3">
      <c r="C27" s="49">
        <v>706.98</v>
      </c>
      <c r="D27" s="42">
        <f t="shared" si="0"/>
        <v>1.1597933534561487E-2</v>
      </c>
      <c r="E27" s="7"/>
    </row>
    <row r="28" spans="1:5" ht="15.75" customHeight="1" x14ac:dyDescent="0.3">
      <c r="C28" s="49">
        <v>699.82</v>
      </c>
      <c r="D28" s="42">
        <f t="shared" si="0"/>
        <v>1.3528895388226704E-3</v>
      </c>
      <c r="E28" s="7"/>
    </row>
    <row r="29" spans="1:5" ht="15.75" customHeight="1" x14ac:dyDescent="0.3">
      <c r="C29" s="49">
        <v>704.35</v>
      </c>
      <c r="D29" s="42">
        <f t="shared" si="0"/>
        <v>7.8347399998138379E-3</v>
      </c>
      <c r="E29" s="7"/>
    </row>
    <row r="30" spans="1:5" ht="15.75" customHeight="1" x14ac:dyDescent="0.3">
      <c r="C30" s="49">
        <v>704.85</v>
      </c>
      <c r="D30" s="42">
        <f t="shared" si="0"/>
        <v>8.5501760330358254E-3</v>
      </c>
      <c r="E30" s="7"/>
    </row>
    <row r="31" spans="1:5" ht="15.75" customHeight="1" x14ac:dyDescent="0.3">
      <c r="C31" s="49">
        <v>698.05</v>
      </c>
      <c r="D31" s="42">
        <f t="shared" si="0"/>
        <v>-1.179754018783302E-3</v>
      </c>
      <c r="E31" s="7"/>
    </row>
    <row r="32" spans="1:5" ht="15.75" customHeight="1" x14ac:dyDescent="0.3">
      <c r="C32" s="49">
        <v>693.27</v>
      </c>
      <c r="D32" s="42">
        <f t="shared" si="0"/>
        <v>-8.0193224963854629E-3</v>
      </c>
      <c r="E32" s="7"/>
    </row>
    <row r="33" spans="1:7" ht="15.75" customHeight="1" x14ac:dyDescent="0.3">
      <c r="C33" s="49">
        <v>690.25</v>
      </c>
      <c r="D33" s="42">
        <f t="shared" si="0"/>
        <v>-1.2340556137046241E-2</v>
      </c>
      <c r="E33" s="7"/>
    </row>
    <row r="34" spans="1:7" ht="15.75" customHeight="1" x14ac:dyDescent="0.3">
      <c r="C34" s="49">
        <v>692.28</v>
      </c>
      <c r="D34" s="42">
        <f t="shared" si="0"/>
        <v>-9.4358858421650111E-3</v>
      </c>
      <c r="E34" s="7"/>
    </row>
    <row r="35" spans="1:7" ht="15.75" customHeight="1" x14ac:dyDescent="0.3">
      <c r="C35" s="49">
        <v>696.91</v>
      </c>
      <c r="D35" s="42">
        <f t="shared" si="0"/>
        <v>-2.8109481745294141E-3</v>
      </c>
      <c r="E35" s="7"/>
    </row>
    <row r="36" spans="1:7" ht="15.75" customHeight="1" x14ac:dyDescent="0.3">
      <c r="C36" s="49">
        <v>696.02</v>
      </c>
      <c r="D36" s="42">
        <f t="shared" si="0"/>
        <v>-4.0844243136645324E-3</v>
      </c>
      <c r="E36" s="7"/>
    </row>
    <row r="37" spans="1:7" ht="15.75" customHeight="1" x14ac:dyDescent="0.3">
      <c r="C37" s="49">
        <v>695.94</v>
      </c>
      <c r="D37" s="42">
        <f t="shared" si="0"/>
        <v>-4.1988940789799466E-3</v>
      </c>
      <c r="E37" s="7"/>
    </row>
    <row r="38" spans="1:7" ht="15.75" customHeight="1" x14ac:dyDescent="0.3">
      <c r="C38" s="49">
        <v>701.24</v>
      </c>
      <c r="D38" s="42">
        <f t="shared" si="0"/>
        <v>3.3847278731730561E-3</v>
      </c>
      <c r="E38" s="7"/>
    </row>
    <row r="39" spans="1:7" ht="15.75" customHeight="1" x14ac:dyDescent="0.3">
      <c r="C39" s="49">
        <v>690.89</v>
      </c>
      <c r="D39" s="42">
        <f t="shared" si="0"/>
        <v>-1.1424798014522118E-2</v>
      </c>
      <c r="E39" s="7"/>
    </row>
    <row r="40" spans="1:7" ht="15.75" customHeight="1" x14ac:dyDescent="0.3">
      <c r="C40" s="49">
        <v>693.34</v>
      </c>
      <c r="D40" s="42">
        <f t="shared" si="0"/>
        <v>-7.9191614517343141E-3</v>
      </c>
      <c r="E40" s="7"/>
    </row>
    <row r="41" spans="1:7" ht="15.75" customHeight="1" x14ac:dyDescent="0.3">
      <c r="C41" s="49">
        <v>686.53</v>
      </c>
      <c r="D41" s="42">
        <f t="shared" si="0"/>
        <v>-1.7663400224217869E-2</v>
      </c>
      <c r="E41" s="7"/>
    </row>
    <row r="42" spans="1:7" ht="15.75" customHeight="1" x14ac:dyDescent="0.3">
      <c r="C42" s="49">
        <v>695.16</v>
      </c>
      <c r="D42" s="42">
        <f t="shared" si="0"/>
        <v>-5.3149742908063704E-3</v>
      </c>
      <c r="E42" s="7"/>
    </row>
    <row r="43" spans="1:7" ht="16.5" customHeight="1" x14ac:dyDescent="0.3">
      <c r="C43" s="50">
        <v>699.58</v>
      </c>
      <c r="D43" s="43">
        <f t="shared" si="0"/>
        <v>1.0094802428761034E-3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41</v>
      </c>
      <c r="C45" s="37">
        <f>SUM(C24:C44)</f>
        <v>13977.490000000002</v>
      </c>
      <c r="D45" s="32"/>
      <c r="E45" s="8"/>
    </row>
    <row r="46" spans="1:7" ht="17.25" customHeight="1" x14ac:dyDescent="0.3">
      <c r="B46" s="36" t="s">
        <v>42</v>
      </c>
      <c r="C46" s="38">
        <f>AVERAGE(C24:C44)</f>
        <v>698.87450000000013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42</v>
      </c>
      <c r="C48" s="39" t="s">
        <v>43</v>
      </c>
      <c r="D48" s="34"/>
      <c r="G48" s="12"/>
    </row>
    <row r="49" spans="1:6" ht="17.25" customHeight="1" x14ac:dyDescent="0.3">
      <c r="B49" s="476">
        <f>C46</f>
        <v>698.87450000000013</v>
      </c>
      <c r="C49" s="47">
        <f>-IF(C46&lt;=80,10%,IF(C46&lt;250,7.5%,5%))</f>
        <v>-0.05</v>
      </c>
      <c r="D49" s="35">
        <f>IF(C46&lt;=80,C46*0.9,IF(C46&lt;250,C46*0.925,C46*0.95))</f>
        <v>663.93077500000004</v>
      </c>
    </row>
    <row r="50" spans="1:6" ht="17.25" customHeight="1" x14ac:dyDescent="0.3">
      <c r="B50" s="477"/>
      <c r="C50" s="48">
        <f>IF(C46&lt;=80, 10%, IF(C46&lt;250, 7.5%, 5%))</f>
        <v>0.05</v>
      </c>
      <c r="D50" s="35">
        <f>IF(C46&lt;=80, C46*1.1, IF(C46&lt;250, C46*1.075, C46*1.05))</f>
        <v>733.81822500000021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25</v>
      </c>
      <c r="C52" s="21"/>
      <c r="D52" s="22" t="s">
        <v>26</v>
      </c>
      <c r="E52" s="23"/>
      <c r="F52" s="22" t="s">
        <v>27</v>
      </c>
    </row>
    <row r="53" spans="1:6" ht="34.5" customHeight="1" x14ac:dyDescent="0.3">
      <c r="A53" s="24" t="s">
        <v>28</v>
      </c>
      <c r="B53" s="25"/>
      <c r="C53" s="26"/>
      <c r="D53" s="25"/>
      <c r="E53" s="15"/>
      <c r="F53" s="27"/>
    </row>
    <row r="54" spans="1:6" ht="34.5" customHeight="1" x14ac:dyDescent="0.3">
      <c r="A54" s="24" t="s">
        <v>29</v>
      </c>
      <c r="B54" s="28"/>
      <c r="C54" s="29"/>
      <c r="D54" s="28"/>
      <c r="E54" s="15"/>
      <c r="F5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8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view="pageBreakPreview" zoomScale="60" zoomScaleNormal="75" zoomScalePageLayoutView="55" workbookViewId="0">
      <selection activeCell="B20" sqref="B20: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84" t="s">
        <v>44</v>
      </c>
      <c r="B1" s="484"/>
      <c r="C1" s="484"/>
      <c r="D1" s="484"/>
      <c r="E1" s="484"/>
      <c r="F1" s="484"/>
      <c r="G1" s="484"/>
      <c r="H1" s="484"/>
    </row>
    <row r="2" spans="1:8" x14ac:dyDescent="0.25">
      <c r="A2" s="484"/>
      <c r="B2" s="484"/>
      <c r="C2" s="484"/>
      <c r="D2" s="484"/>
      <c r="E2" s="484"/>
      <c r="F2" s="484"/>
      <c r="G2" s="484"/>
      <c r="H2" s="484"/>
    </row>
    <row r="3" spans="1:8" x14ac:dyDescent="0.25">
      <c r="A3" s="484"/>
      <c r="B3" s="484"/>
      <c r="C3" s="484"/>
      <c r="D3" s="484"/>
      <c r="E3" s="484"/>
      <c r="F3" s="484"/>
      <c r="G3" s="484"/>
      <c r="H3" s="484"/>
    </row>
    <row r="4" spans="1:8" x14ac:dyDescent="0.25">
      <c r="A4" s="484"/>
      <c r="B4" s="484"/>
      <c r="C4" s="484"/>
      <c r="D4" s="484"/>
      <c r="E4" s="484"/>
      <c r="F4" s="484"/>
      <c r="G4" s="484"/>
      <c r="H4" s="484"/>
    </row>
    <row r="5" spans="1:8" x14ac:dyDescent="0.25">
      <c r="A5" s="484"/>
      <c r="B5" s="484"/>
      <c r="C5" s="484"/>
      <c r="D5" s="484"/>
      <c r="E5" s="484"/>
      <c r="F5" s="484"/>
      <c r="G5" s="484"/>
      <c r="H5" s="484"/>
    </row>
    <row r="6" spans="1:8" x14ac:dyDescent="0.25">
      <c r="A6" s="484"/>
      <c r="B6" s="484"/>
      <c r="C6" s="484"/>
      <c r="D6" s="484"/>
      <c r="E6" s="484"/>
      <c r="F6" s="484"/>
      <c r="G6" s="484"/>
      <c r="H6" s="484"/>
    </row>
    <row r="7" spans="1:8" x14ac:dyDescent="0.25">
      <c r="A7" s="484"/>
      <c r="B7" s="484"/>
      <c r="C7" s="484"/>
      <c r="D7" s="484"/>
      <c r="E7" s="484"/>
      <c r="F7" s="484"/>
      <c r="G7" s="484"/>
      <c r="H7" s="484"/>
    </row>
    <row r="8" spans="1:8" x14ac:dyDescent="0.25">
      <c r="A8" s="485" t="s">
        <v>45</v>
      </c>
      <c r="B8" s="485"/>
      <c r="C8" s="485"/>
      <c r="D8" s="485"/>
      <c r="E8" s="485"/>
      <c r="F8" s="485"/>
      <c r="G8" s="485"/>
      <c r="H8" s="485"/>
    </row>
    <row r="9" spans="1:8" x14ac:dyDescent="0.25">
      <c r="A9" s="485"/>
      <c r="B9" s="485"/>
      <c r="C9" s="485"/>
      <c r="D9" s="485"/>
      <c r="E9" s="485"/>
      <c r="F9" s="485"/>
      <c r="G9" s="485"/>
      <c r="H9" s="485"/>
    </row>
    <row r="10" spans="1:8" x14ac:dyDescent="0.25">
      <c r="A10" s="485"/>
      <c r="B10" s="485"/>
      <c r="C10" s="485"/>
      <c r="D10" s="485"/>
      <c r="E10" s="485"/>
      <c r="F10" s="485"/>
      <c r="G10" s="485"/>
      <c r="H10" s="485"/>
    </row>
    <row r="11" spans="1:8" x14ac:dyDescent="0.25">
      <c r="A11" s="485"/>
      <c r="B11" s="485"/>
      <c r="C11" s="485"/>
      <c r="D11" s="485"/>
      <c r="E11" s="485"/>
      <c r="F11" s="485"/>
      <c r="G11" s="485"/>
      <c r="H11" s="485"/>
    </row>
    <row r="12" spans="1:8" x14ac:dyDescent="0.25">
      <c r="A12" s="485"/>
      <c r="B12" s="485"/>
      <c r="C12" s="485"/>
      <c r="D12" s="485"/>
      <c r="E12" s="485"/>
      <c r="F12" s="485"/>
      <c r="G12" s="485"/>
      <c r="H12" s="485"/>
    </row>
    <row r="13" spans="1:8" x14ac:dyDescent="0.25">
      <c r="A13" s="485"/>
      <c r="B13" s="485"/>
      <c r="C13" s="485"/>
      <c r="D13" s="485"/>
      <c r="E13" s="485"/>
      <c r="F13" s="485"/>
      <c r="G13" s="485"/>
      <c r="H13" s="485"/>
    </row>
    <row r="14" spans="1:8" x14ac:dyDescent="0.25">
      <c r="A14" s="485"/>
      <c r="B14" s="485"/>
      <c r="C14" s="485"/>
      <c r="D14" s="485"/>
      <c r="E14" s="485"/>
      <c r="F14" s="485"/>
      <c r="G14" s="485"/>
      <c r="H14" s="485"/>
    </row>
    <row r="15" spans="1:8" ht="19.5" customHeight="1" x14ac:dyDescent="0.25"/>
    <row r="16" spans="1:8" ht="19.5" customHeight="1" x14ac:dyDescent="0.25">
      <c r="A16" s="486" t="s">
        <v>30</v>
      </c>
      <c r="B16" s="487"/>
      <c r="C16" s="487"/>
      <c r="D16" s="487"/>
      <c r="E16" s="487"/>
      <c r="F16" s="487"/>
      <c r="G16" s="487"/>
      <c r="H16" s="488"/>
    </row>
    <row r="17" spans="1:13" ht="18.75" x14ac:dyDescent="0.3">
      <c r="A17" s="225" t="s">
        <v>46</v>
      </c>
      <c r="B17" s="225"/>
    </row>
    <row r="18" spans="1:13" ht="26.25" x14ac:dyDescent="0.4">
      <c r="A18" s="227" t="s">
        <v>32</v>
      </c>
      <c r="B18" s="493" t="s">
        <v>5</v>
      </c>
      <c r="C18" s="493"/>
      <c r="D18" s="211"/>
      <c r="E18" s="55"/>
      <c r="F18" s="224"/>
      <c r="G18" s="224"/>
      <c r="H18" s="224"/>
    </row>
    <row r="19" spans="1:13" ht="26.25" x14ac:dyDescent="0.4">
      <c r="A19" s="227" t="s">
        <v>33</v>
      </c>
      <c r="B19" s="222" t="s">
        <v>7</v>
      </c>
      <c r="C19" s="224">
        <v>1</v>
      </c>
      <c r="D19" s="224"/>
      <c r="E19" s="224"/>
      <c r="F19" s="224"/>
      <c r="G19" s="224"/>
      <c r="H19" s="224"/>
    </row>
    <row r="20" spans="1:13" ht="26.25" x14ac:dyDescent="0.4">
      <c r="A20" s="227" t="s">
        <v>34</v>
      </c>
      <c r="B20" s="494" t="s">
        <v>9</v>
      </c>
      <c r="C20" s="494"/>
      <c r="D20" s="224"/>
      <c r="E20" s="224"/>
      <c r="F20" s="224"/>
      <c r="G20" s="224"/>
      <c r="H20" s="224"/>
    </row>
    <row r="21" spans="1:13" ht="26.25" x14ac:dyDescent="0.4">
      <c r="A21" s="227" t="s">
        <v>35</v>
      </c>
      <c r="B21" s="494" t="s">
        <v>11</v>
      </c>
      <c r="C21" s="494"/>
      <c r="D21" s="494"/>
      <c r="E21" s="494"/>
      <c r="F21" s="494"/>
      <c r="G21" s="494"/>
      <c r="H21" s="494"/>
    </row>
    <row r="22" spans="1:13" ht="26.25" x14ac:dyDescent="0.4">
      <c r="A22" s="227" t="s">
        <v>36</v>
      </c>
      <c r="B22" s="59" t="s">
        <v>139</v>
      </c>
    </row>
    <row r="23" spans="1:13" ht="26.25" x14ac:dyDescent="0.4">
      <c r="A23" s="227" t="s">
        <v>37</v>
      </c>
      <c r="B23" s="59" t="s">
        <v>140</v>
      </c>
    </row>
    <row r="24" spans="1:13" ht="18.75" x14ac:dyDescent="0.3">
      <c r="A24" s="227"/>
      <c r="B24" s="230"/>
    </row>
    <row r="25" spans="1:13" ht="18.75" x14ac:dyDescent="0.3">
      <c r="A25" s="231" t="s">
        <v>1</v>
      </c>
      <c r="B25" s="230"/>
    </row>
    <row r="26" spans="1:13" ht="26.25" customHeight="1" x14ac:dyDescent="0.4">
      <c r="A26" s="232" t="s">
        <v>4</v>
      </c>
      <c r="B26" s="492" t="s">
        <v>135</v>
      </c>
      <c r="C26" s="492"/>
    </row>
    <row r="27" spans="1:13" ht="26.25" customHeight="1" x14ac:dyDescent="0.4">
      <c r="A27" s="234" t="s">
        <v>47</v>
      </c>
      <c r="B27" s="366" t="s">
        <v>124</v>
      </c>
    </row>
    <row r="28" spans="1:13" ht="27" customHeight="1" x14ac:dyDescent="0.4">
      <c r="A28" s="234" t="s">
        <v>6</v>
      </c>
      <c r="B28" s="367">
        <v>99.8</v>
      </c>
    </row>
    <row r="29" spans="1:13" s="3" customFormat="1" ht="27" customHeight="1" x14ac:dyDescent="0.4">
      <c r="A29" s="234" t="s">
        <v>48</v>
      </c>
      <c r="B29" s="366">
        <v>0</v>
      </c>
      <c r="C29" s="503" t="s">
        <v>49</v>
      </c>
      <c r="D29" s="504"/>
      <c r="E29" s="504"/>
      <c r="F29" s="504"/>
      <c r="G29" s="505"/>
      <c r="I29" s="236"/>
      <c r="J29" s="236"/>
      <c r="K29" s="236"/>
    </row>
    <row r="30" spans="1:13" s="3" customFormat="1" ht="19.5" customHeight="1" x14ac:dyDescent="0.3">
      <c r="A30" s="234" t="s">
        <v>50</v>
      </c>
      <c r="B30" s="233">
        <f>B28-B29</f>
        <v>99.8</v>
      </c>
      <c r="C30" s="237"/>
      <c r="D30" s="237"/>
      <c r="E30" s="237"/>
      <c r="F30" s="237"/>
      <c r="G30" s="238"/>
      <c r="I30" s="236"/>
      <c r="J30" s="236"/>
      <c r="K30" s="236"/>
    </row>
    <row r="31" spans="1:13" s="3" customFormat="1" ht="27" customHeight="1" x14ac:dyDescent="0.4">
      <c r="A31" s="234" t="s">
        <v>51</v>
      </c>
      <c r="B31" s="368">
        <v>1</v>
      </c>
      <c r="C31" s="489" t="s">
        <v>52</v>
      </c>
      <c r="D31" s="490"/>
      <c r="E31" s="490"/>
      <c r="F31" s="490"/>
      <c r="G31" s="490"/>
      <c r="H31" s="491"/>
      <c r="I31" s="236"/>
      <c r="J31" s="236"/>
      <c r="K31" s="236"/>
    </row>
    <row r="32" spans="1:13" s="3" customFormat="1" ht="27" customHeight="1" x14ac:dyDescent="0.4">
      <c r="A32" s="234" t="s">
        <v>53</v>
      </c>
      <c r="B32" s="368">
        <v>1</v>
      </c>
      <c r="C32" s="489" t="s">
        <v>54</v>
      </c>
      <c r="D32" s="490"/>
      <c r="E32" s="490"/>
      <c r="F32" s="490"/>
      <c r="G32" s="490"/>
      <c r="H32" s="491"/>
      <c r="I32" s="236"/>
      <c r="J32" s="236"/>
      <c r="K32" s="240"/>
      <c r="L32" s="240"/>
      <c r="M32" s="241"/>
    </row>
    <row r="33" spans="1:13" s="3" customFormat="1" ht="17.25" customHeight="1" x14ac:dyDescent="0.3">
      <c r="A33" s="234"/>
      <c r="B33" s="239"/>
      <c r="C33" s="242"/>
      <c r="D33" s="242"/>
      <c r="E33" s="242"/>
      <c r="F33" s="242"/>
      <c r="G33" s="242"/>
      <c r="H33" s="242"/>
      <c r="I33" s="236"/>
      <c r="J33" s="236"/>
      <c r="K33" s="240"/>
      <c r="L33" s="240"/>
      <c r="M33" s="241"/>
    </row>
    <row r="34" spans="1:13" s="3" customFormat="1" ht="18.75" x14ac:dyDescent="0.3">
      <c r="A34" s="234" t="s">
        <v>55</v>
      </c>
      <c r="B34" s="243">
        <f>B31/B32</f>
        <v>1</v>
      </c>
      <c r="C34" s="226" t="s">
        <v>56</v>
      </c>
      <c r="D34" s="226"/>
      <c r="E34" s="226"/>
      <c r="F34" s="226"/>
      <c r="G34" s="226"/>
      <c r="I34" s="236"/>
      <c r="J34" s="236"/>
      <c r="K34" s="240"/>
      <c r="L34" s="240"/>
      <c r="M34" s="241"/>
    </row>
    <row r="35" spans="1:13" s="3" customFormat="1" ht="19.5" customHeight="1" x14ac:dyDescent="0.3">
      <c r="A35" s="234"/>
      <c r="B35" s="233"/>
      <c r="G35" s="226"/>
      <c r="I35" s="236"/>
      <c r="J35" s="236"/>
      <c r="K35" s="240"/>
      <c r="L35" s="240"/>
      <c r="M35" s="241"/>
    </row>
    <row r="36" spans="1:13" s="3" customFormat="1" ht="27" customHeight="1" x14ac:dyDescent="0.4">
      <c r="A36" s="244" t="s">
        <v>125</v>
      </c>
      <c r="B36" s="369">
        <v>100</v>
      </c>
      <c r="C36" s="226"/>
      <c r="D36" s="495" t="s">
        <v>58</v>
      </c>
      <c r="E36" s="519"/>
      <c r="F36" s="495" t="s">
        <v>59</v>
      </c>
      <c r="G36" s="496"/>
      <c r="I36" s="236"/>
      <c r="J36" s="236"/>
      <c r="K36" s="240"/>
      <c r="L36" s="240"/>
      <c r="M36" s="241"/>
    </row>
    <row r="37" spans="1:13" s="3" customFormat="1" ht="26.25" customHeight="1" x14ac:dyDescent="0.4">
      <c r="A37" s="245" t="s">
        <v>60</v>
      </c>
      <c r="B37" s="370">
        <v>1</v>
      </c>
      <c r="C37" s="247" t="s">
        <v>126</v>
      </c>
      <c r="D37" s="248" t="s">
        <v>62</v>
      </c>
      <c r="E37" s="304" t="s">
        <v>63</v>
      </c>
      <c r="F37" s="248" t="s">
        <v>62</v>
      </c>
      <c r="G37" s="249" t="s">
        <v>63</v>
      </c>
      <c r="I37" s="236"/>
      <c r="J37" s="236"/>
      <c r="K37" s="240"/>
      <c r="L37" s="240"/>
      <c r="M37" s="241"/>
    </row>
    <row r="38" spans="1:13" s="3" customFormat="1" ht="26.25" customHeight="1" x14ac:dyDescent="0.4">
      <c r="A38" s="245" t="s">
        <v>65</v>
      </c>
      <c r="B38" s="370">
        <v>1</v>
      </c>
      <c r="C38" s="250">
        <v>1</v>
      </c>
      <c r="D38" s="399">
        <v>2445795</v>
      </c>
      <c r="E38" s="317">
        <f>IF(ISBLANK(D38),"-",$D$48/$D$45*D38)</f>
        <v>2246284.5030115223</v>
      </c>
      <c r="F38" s="371">
        <v>2363403</v>
      </c>
      <c r="G38" s="320">
        <f>IF(ISBLANK(F38),"-",$D$48/$F$45*F38)</f>
        <v>2247877.8154315273</v>
      </c>
      <c r="I38" s="236"/>
      <c r="J38" s="236"/>
      <c r="K38" s="240"/>
      <c r="L38" s="240"/>
      <c r="M38" s="241"/>
    </row>
    <row r="39" spans="1:13" s="3" customFormat="1" ht="26.25" customHeight="1" x14ac:dyDescent="0.4">
      <c r="A39" s="245" t="s">
        <v>66</v>
      </c>
      <c r="B39" s="370">
        <v>1</v>
      </c>
      <c r="C39" s="246">
        <v>2</v>
      </c>
      <c r="D39" s="399">
        <v>2453895</v>
      </c>
      <c r="E39" s="318">
        <f>IF(ISBLANK(D39),"-",$D$48/$D$45*D39)</f>
        <v>2253723.7628327231</v>
      </c>
      <c r="F39" s="371">
        <v>2367855</v>
      </c>
      <c r="G39" s="321">
        <f>IF(ISBLANK(F39),"-",$D$48/$F$45*F39)</f>
        <v>2252112.1978175617</v>
      </c>
      <c r="I39" s="236"/>
      <c r="J39" s="236"/>
      <c r="K39" s="240"/>
      <c r="L39" s="240"/>
      <c r="M39" s="241"/>
    </row>
    <row r="40" spans="1:13" ht="26.25" customHeight="1" x14ac:dyDescent="0.4">
      <c r="A40" s="245" t="s">
        <v>67</v>
      </c>
      <c r="B40" s="370">
        <v>1</v>
      </c>
      <c r="C40" s="246">
        <v>3</v>
      </c>
      <c r="D40" s="399">
        <v>2446125</v>
      </c>
      <c r="E40" s="318">
        <f>IF(ISBLANK(D40),"-",$D$48/$D$45*D40)</f>
        <v>2246587.5839672009</v>
      </c>
      <c r="F40" s="371">
        <v>2364427</v>
      </c>
      <c r="G40" s="321">
        <f>IF(ISBLANK(F40),"-",$D$48/$F$45*F40)</f>
        <v>2248851.7614250807</v>
      </c>
      <c r="K40" s="240"/>
      <c r="L40" s="240"/>
      <c r="M40" s="252"/>
    </row>
    <row r="41" spans="1:13" ht="26.25" customHeight="1" x14ac:dyDescent="0.4">
      <c r="A41" s="245" t="s">
        <v>68</v>
      </c>
      <c r="B41" s="370">
        <v>1</v>
      </c>
      <c r="C41" s="253">
        <v>4</v>
      </c>
      <c r="D41" s="373">
        <v>2434205</v>
      </c>
      <c r="E41" s="319">
        <f>IF(ISBLANK(D41),"-",$D$48/$D$45*D41)</f>
        <v>2235639.9324772367</v>
      </c>
      <c r="F41" s="373">
        <v>2353511</v>
      </c>
      <c r="G41" s="322">
        <f>IF(ISBLANK(F41),"-",$D$48/$F$45*F41)</f>
        <v>2238469.3449547407</v>
      </c>
      <c r="K41" s="240"/>
      <c r="L41" s="240"/>
      <c r="M41" s="252"/>
    </row>
    <row r="42" spans="1:13" ht="27" customHeight="1" thickBot="1" x14ac:dyDescent="0.45">
      <c r="A42" s="245" t="s">
        <v>69</v>
      </c>
      <c r="B42" s="370">
        <v>1</v>
      </c>
      <c r="C42" s="255" t="s">
        <v>70</v>
      </c>
      <c r="D42" s="256">
        <f>AVERAGE(D38:D41)</f>
        <v>2445005</v>
      </c>
      <c r="E42" s="280">
        <f>AVERAGE(E38:E41)</f>
        <v>2245558.9455721704</v>
      </c>
      <c r="F42" s="256">
        <f>AVERAGE(F38:F41)</f>
        <v>2362299</v>
      </c>
      <c r="G42" s="257">
        <f>AVERAGE(G38:G41)</f>
        <v>2246827.7799072275</v>
      </c>
      <c r="H42" s="337"/>
    </row>
    <row r="43" spans="1:13" ht="26.25" customHeight="1" x14ac:dyDescent="0.4">
      <c r="A43" s="245" t="s">
        <v>71</v>
      </c>
      <c r="B43" s="367">
        <v>1</v>
      </c>
      <c r="C43" s="350" t="s">
        <v>112</v>
      </c>
      <c r="D43" s="374">
        <v>21.82</v>
      </c>
      <c r="E43" s="364"/>
      <c r="F43" s="374">
        <v>21.07</v>
      </c>
      <c r="G43" s="336"/>
      <c r="H43" s="337"/>
    </row>
    <row r="44" spans="1:13" ht="26.25" customHeight="1" x14ac:dyDescent="0.4">
      <c r="A44" s="245" t="s">
        <v>73</v>
      </c>
      <c r="B44" s="367">
        <v>1</v>
      </c>
      <c r="C44" s="351" t="s">
        <v>113</v>
      </c>
      <c r="D44" s="352">
        <f>D43*$B$34</f>
        <v>21.82</v>
      </c>
      <c r="E44" s="259"/>
      <c r="F44" s="258">
        <f>F43*$B$34</f>
        <v>21.07</v>
      </c>
      <c r="H44" s="337"/>
    </row>
    <row r="45" spans="1:13" ht="19.5" customHeight="1" x14ac:dyDescent="0.3">
      <c r="A45" s="245" t="s">
        <v>75</v>
      </c>
      <c r="B45" s="349">
        <f>(B44/B43)*(B42/B41)*(B40/B39)*(B38/B37)*B36</f>
        <v>100</v>
      </c>
      <c r="C45" s="351" t="s">
        <v>76</v>
      </c>
      <c r="D45" s="353">
        <f>D44*$B$30/100</f>
        <v>21.77636</v>
      </c>
      <c r="E45" s="261"/>
      <c r="F45" s="260">
        <f>F44*$B$30/100</f>
        <v>21.02786</v>
      </c>
      <c r="H45" s="337"/>
    </row>
    <row r="46" spans="1:13" ht="19.5" customHeight="1" x14ac:dyDescent="0.3">
      <c r="A46" s="497" t="s">
        <v>77</v>
      </c>
      <c r="B46" s="498"/>
      <c r="C46" s="351" t="s">
        <v>78</v>
      </c>
      <c r="D46" s="352">
        <f>D45/$B$45</f>
        <v>0.2177636</v>
      </c>
      <c r="E46" s="261"/>
      <c r="F46" s="262">
        <f>F45/$B$45</f>
        <v>0.21027860000000001</v>
      </c>
      <c r="H46" s="337"/>
    </row>
    <row r="47" spans="1:13" ht="27" customHeight="1" x14ac:dyDescent="0.4">
      <c r="A47" s="499"/>
      <c r="B47" s="500"/>
      <c r="C47" s="351" t="s">
        <v>127</v>
      </c>
      <c r="D47" s="375">
        <v>0.2</v>
      </c>
      <c r="F47" s="264"/>
      <c r="H47" s="337"/>
    </row>
    <row r="48" spans="1:13" ht="18.75" x14ac:dyDescent="0.3">
      <c r="C48" s="351" t="s">
        <v>80</v>
      </c>
      <c r="D48" s="352">
        <f>D47*$B$45</f>
        <v>20</v>
      </c>
      <c r="F48" s="264"/>
      <c r="H48" s="337"/>
    </row>
    <row r="49" spans="1:11" ht="19.5" customHeight="1" x14ac:dyDescent="0.3">
      <c r="C49" s="354" t="s">
        <v>81</v>
      </c>
      <c r="D49" s="355">
        <f>D48/B34</f>
        <v>20</v>
      </c>
      <c r="F49" s="267"/>
      <c r="H49" s="337"/>
    </row>
    <row r="50" spans="1:11" ht="18.75" x14ac:dyDescent="0.3">
      <c r="C50" s="356" t="s">
        <v>82</v>
      </c>
      <c r="D50" s="357">
        <f>AVERAGE(E38:E41,G38:G41)</f>
        <v>2246193.362739699</v>
      </c>
      <c r="F50" s="267"/>
      <c r="H50" s="337"/>
    </row>
    <row r="51" spans="1:11" ht="18.75" x14ac:dyDescent="0.3">
      <c r="C51" s="263" t="s">
        <v>83</v>
      </c>
      <c r="D51" s="268">
        <f>STDEV(E38:E41,G38:G41)/D50</f>
        <v>2.7794591369649192E-3</v>
      </c>
      <c r="F51" s="267"/>
    </row>
    <row r="52" spans="1:11" ht="19.5" customHeight="1" x14ac:dyDescent="0.3">
      <c r="C52" s="265" t="s">
        <v>19</v>
      </c>
      <c r="D52" s="269">
        <f>COUNT(E38:E41,G38:G41)</f>
        <v>8</v>
      </c>
      <c r="F52" s="267"/>
    </row>
    <row r="54" spans="1:11" ht="18.75" x14ac:dyDescent="0.3">
      <c r="A54" s="225" t="s">
        <v>1</v>
      </c>
      <c r="B54" s="270" t="s">
        <v>84</v>
      </c>
    </row>
    <row r="55" spans="1:11" ht="18.75" x14ac:dyDescent="0.3">
      <c r="A55" s="226" t="s">
        <v>85</v>
      </c>
      <c r="B55" s="229" t="str">
        <f>B21</f>
        <v>Artemether 80 mg + Lumefantrine 480 mg per tablet</v>
      </c>
    </row>
    <row r="56" spans="1:11" ht="26.25" customHeight="1" x14ac:dyDescent="0.4">
      <c r="A56" s="228" t="s">
        <v>86</v>
      </c>
      <c r="B56" s="366">
        <v>80</v>
      </c>
      <c r="C56" s="226" t="str">
        <f>B26</f>
        <v>ARTEMETHER</v>
      </c>
      <c r="H56" s="235"/>
    </row>
    <row r="57" spans="1:11" ht="18.75" x14ac:dyDescent="0.3">
      <c r="A57" s="229" t="s">
        <v>87</v>
      </c>
      <c r="B57" s="391">
        <f>Uniformity!C46</f>
        <v>698.87450000000013</v>
      </c>
      <c r="H57" s="235"/>
    </row>
    <row r="58" spans="1:11" ht="19.5" customHeight="1" x14ac:dyDescent="0.3">
      <c r="H58" s="235"/>
    </row>
    <row r="59" spans="1:11" s="3" customFormat="1" ht="27" customHeight="1" thickBot="1" x14ac:dyDescent="0.45">
      <c r="A59" s="244" t="s">
        <v>128</v>
      </c>
      <c r="B59" s="369">
        <v>100</v>
      </c>
      <c r="C59" s="226"/>
      <c r="D59" s="272" t="s">
        <v>89</v>
      </c>
      <c r="E59" s="271" t="s">
        <v>61</v>
      </c>
      <c r="F59" s="271" t="s">
        <v>62</v>
      </c>
      <c r="G59" s="271" t="s">
        <v>90</v>
      </c>
      <c r="H59" s="247" t="s">
        <v>91</v>
      </c>
      <c r="K59" s="236"/>
    </row>
    <row r="60" spans="1:11" s="3" customFormat="1" ht="22.5" customHeight="1" x14ac:dyDescent="0.4">
      <c r="A60" s="245" t="s">
        <v>121</v>
      </c>
      <c r="B60" s="370">
        <v>1</v>
      </c>
      <c r="C60" s="512" t="s">
        <v>93</v>
      </c>
      <c r="D60" s="516">
        <v>179.96</v>
      </c>
      <c r="E60" s="273">
        <v>1</v>
      </c>
      <c r="F60" s="377">
        <v>2280769</v>
      </c>
      <c r="G60" s="308">
        <f>IF(ISBLANK(F60),"-",(F60/$D$50*$D$47*$B$68)*($B$57/$D$60))</f>
        <v>78.865555660762553</v>
      </c>
      <c r="H60" s="310">
        <f t="shared" ref="H60:H71" si="0">IF(ISBLANK(F60),"-",G60/$B$56)</f>
        <v>0.98581944575953195</v>
      </c>
      <c r="K60" s="236"/>
    </row>
    <row r="61" spans="1:11" s="3" customFormat="1" ht="26.25" customHeight="1" x14ac:dyDescent="0.4">
      <c r="A61" s="245" t="s">
        <v>94</v>
      </c>
      <c r="B61" s="370">
        <v>1</v>
      </c>
      <c r="C61" s="513"/>
      <c r="D61" s="517"/>
      <c r="E61" s="274">
        <v>2</v>
      </c>
      <c r="F61" s="372">
        <v>2284014</v>
      </c>
      <c r="G61" s="309">
        <f>IF(ISBLANK(F61),"-",(F61/$D$50*$D$47*$B$68)*($B$57/$D$60))</f>
        <v>78.977762871628357</v>
      </c>
      <c r="H61" s="311">
        <f t="shared" si="0"/>
        <v>0.98722203589535451</v>
      </c>
      <c r="K61" s="236"/>
    </row>
    <row r="62" spans="1:11" s="3" customFormat="1" ht="26.25" customHeight="1" x14ac:dyDescent="0.4">
      <c r="A62" s="245" t="s">
        <v>95</v>
      </c>
      <c r="B62" s="370">
        <v>1</v>
      </c>
      <c r="C62" s="513"/>
      <c r="D62" s="517"/>
      <c r="E62" s="274">
        <v>3</v>
      </c>
      <c r="F62" s="137">
        <v>2263332</v>
      </c>
      <c r="G62" s="309">
        <f>IF(ISBLANK(F62),"-",(F62/$D$50*$D$47*$B$68)*($B$57/$D$60))</f>
        <v>78.262610472513899</v>
      </c>
      <c r="H62" s="311">
        <f t="shared" si="0"/>
        <v>0.97828263090642376</v>
      </c>
      <c r="K62" s="236"/>
    </row>
    <row r="63" spans="1:11" ht="21" customHeight="1" thickBot="1" x14ac:dyDescent="0.45">
      <c r="A63" s="245" t="s">
        <v>96</v>
      </c>
      <c r="B63" s="370">
        <v>1</v>
      </c>
      <c r="C63" s="514"/>
      <c r="D63" s="518"/>
      <c r="E63" s="275">
        <v>4</v>
      </c>
      <c r="F63" s="378"/>
      <c r="G63" s="309" t="str">
        <f>IF(ISBLANK(F63),"-",(F63/$D$50*$D$47*$B$68)*($B$57/$D$60))</f>
        <v>-</v>
      </c>
      <c r="H63" s="311" t="str">
        <f t="shared" si="0"/>
        <v>-</v>
      </c>
    </row>
    <row r="64" spans="1:11" ht="26.25" customHeight="1" x14ac:dyDescent="0.4">
      <c r="A64" s="245" t="s">
        <v>97</v>
      </c>
      <c r="B64" s="370">
        <v>1</v>
      </c>
      <c r="C64" s="512" t="s">
        <v>98</v>
      </c>
      <c r="D64" s="516">
        <v>173.5</v>
      </c>
      <c r="E64" s="273">
        <v>1</v>
      </c>
      <c r="F64" s="377">
        <v>2202555</v>
      </c>
      <c r="G64" s="333">
        <f>IF(ISBLANK(F64),"-",(F64/$D$50*$D$47*$B$68)*($B$57/$D$64))</f>
        <v>78.996769842319907</v>
      </c>
      <c r="H64" s="330">
        <f t="shared" si="0"/>
        <v>0.98745962302899881</v>
      </c>
    </row>
    <row r="65" spans="1:11" ht="26.25" customHeight="1" x14ac:dyDescent="0.4">
      <c r="A65" s="245" t="s">
        <v>99</v>
      </c>
      <c r="B65" s="370">
        <v>1</v>
      </c>
      <c r="C65" s="513"/>
      <c r="D65" s="517"/>
      <c r="E65" s="274">
        <v>2</v>
      </c>
      <c r="F65" s="372">
        <v>2198875</v>
      </c>
      <c r="G65" s="334">
        <f>IF(ISBLANK(F65),"-",(F65/$D$50*$D$47*$B$68)*($B$57/$D$64))</f>
        <v>78.864783075578657</v>
      </c>
      <c r="H65" s="331">
        <f t="shared" si="0"/>
        <v>0.98580978844473321</v>
      </c>
    </row>
    <row r="66" spans="1:11" ht="26.25" customHeight="1" x14ac:dyDescent="0.4">
      <c r="A66" s="245" t="s">
        <v>100</v>
      </c>
      <c r="B66" s="370">
        <v>1</v>
      </c>
      <c r="C66" s="513"/>
      <c r="D66" s="517"/>
      <c r="E66" s="274">
        <v>3</v>
      </c>
      <c r="F66" s="372">
        <v>2199768</v>
      </c>
      <c r="G66" s="334">
        <f>IF(ISBLANK(F66),"-",(F66/$D$50*$D$47*$B$68)*($B$57/$D$64))</f>
        <v>78.896811386094953</v>
      </c>
      <c r="H66" s="331">
        <f t="shared" si="0"/>
        <v>0.98621014232618687</v>
      </c>
    </row>
    <row r="67" spans="1:11" ht="21" customHeight="1" thickBot="1" x14ac:dyDescent="0.45">
      <c r="A67" s="245" t="s">
        <v>101</v>
      </c>
      <c r="B67" s="370">
        <v>1</v>
      </c>
      <c r="C67" s="514"/>
      <c r="D67" s="518"/>
      <c r="E67" s="275">
        <v>4</v>
      </c>
      <c r="F67" s="378"/>
      <c r="G67" s="335" t="str">
        <f>IF(ISBLANK(F67),"-",(F67/$D$50*$D$47*$B$68)*($B$57/$D$64))</f>
        <v>-</v>
      </c>
      <c r="H67" s="332" t="str">
        <f t="shared" si="0"/>
        <v>-</v>
      </c>
    </row>
    <row r="68" spans="1:11" ht="21.75" customHeight="1" x14ac:dyDescent="0.4">
      <c r="A68" s="245" t="s">
        <v>102</v>
      </c>
      <c r="B68" s="341">
        <f>(B67/B66)*(B65/B64)*(B63/B62)*(B61/B60)*B59</f>
        <v>100</v>
      </c>
      <c r="C68" s="512" t="s">
        <v>103</v>
      </c>
      <c r="D68" s="516">
        <v>176.28</v>
      </c>
      <c r="E68" s="273">
        <v>1</v>
      </c>
      <c r="F68" s="377">
        <v>2247631</v>
      </c>
      <c r="G68" s="333">
        <f>IF(ISBLANK(F68),"-",(F68/$D$50*$D$47*$B$68)*($B$57/$D$68))</f>
        <v>79.342160489122477</v>
      </c>
      <c r="H68" s="311">
        <f t="shared" si="0"/>
        <v>0.99177700611403097</v>
      </c>
    </row>
    <row r="69" spans="1:11" ht="21.75" customHeight="1" thickBot="1" x14ac:dyDescent="0.45">
      <c r="A69" s="358" t="s">
        <v>104</v>
      </c>
      <c r="B69" s="376">
        <f>D47*B68/B56*B57</f>
        <v>174.71862500000003</v>
      </c>
      <c r="C69" s="513"/>
      <c r="D69" s="517"/>
      <c r="E69" s="274">
        <v>2</v>
      </c>
      <c r="F69" s="372">
        <v>2253725</v>
      </c>
      <c r="G69" s="334">
        <f>IF(ISBLANK(F69),"-",(F69/$D$50*$D$47*$B$68)*($B$57/$D$68))</f>
        <v>79.557280820716358</v>
      </c>
      <c r="H69" s="311">
        <f t="shared" si="0"/>
        <v>0.99446601025895442</v>
      </c>
    </row>
    <row r="70" spans="1:11" ht="22.5" customHeight="1" x14ac:dyDescent="0.4">
      <c r="A70" s="506" t="s">
        <v>77</v>
      </c>
      <c r="B70" s="507"/>
      <c r="C70" s="513"/>
      <c r="D70" s="517"/>
      <c r="E70" s="274">
        <v>3</v>
      </c>
      <c r="F70" s="372">
        <v>2252794</v>
      </c>
      <c r="G70" s="334">
        <f>IF(ISBLANK(F70),"-",(F70/$D$50*$D$47*$B$68)*($B$57/$D$68))</f>
        <v>79.524416195065925</v>
      </c>
      <c r="H70" s="311">
        <f t="shared" si="0"/>
        <v>0.99405520243832401</v>
      </c>
    </row>
    <row r="71" spans="1:11" ht="21.75" customHeight="1" thickBot="1" x14ac:dyDescent="0.45">
      <c r="A71" s="508"/>
      <c r="B71" s="509"/>
      <c r="C71" s="515"/>
      <c r="D71" s="518"/>
      <c r="E71" s="275">
        <v>4</v>
      </c>
      <c r="F71" s="378"/>
      <c r="G71" s="335" t="str">
        <f>IF(ISBLANK(F71),"-",(F71/$D$50*$D$47*$B$68)*($B$57/$D$68))</f>
        <v>-</v>
      </c>
      <c r="H71" s="312" t="str">
        <f t="shared" si="0"/>
        <v>-</v>
      </c>
    </row>
    <row r="72" spans="1:11" ht="26.25" customHeight="1" x14ac:dyDescent="0.4">
      <c r="A72" s="276"/>
      <c r="B72" s="276"/>
      <c r="C72" s="276"/>
      <c r="D72" s="276"/>
      <c r="E72" s="276"/>
      <c r="F72" s="277"/>
      <c r="G72" s="266" t="s">
        <v>70</v>
      </c>
      <c r="H72" s="379">
        <f>AVERAGE(H60:H71)</f>
        <v>0.98790020946361545</v>
      </c>
    </row>
    <row r="73" spans="1:11" ht="26.25" customHeight="1" x14ac:dyDescent="0.4">
      <c r="C73" s="276"/>
      <c r="D73" s="276"/>
      <c r="E73" s="276"/>
      <c r="F73" s="277"/>
      <c r="G73" s="263" t="s">
        <v>83</v>
      </c>
      <c r="H73" s="380">
        <f>STDEV(H60:H71)/H72</f>
        <v>5.0704790098176807E-3</v>
      </c>
    </row>
    <row r="74" spans="1:11" ht="27" customHeight="1" x14ac:dyDescent="0.4">
      <c r="A74" s="276"/>
      <c r="B74" s="276"/>
      <c r="C74" s="277"/>
      <c r="D74" s="277"/>
      <c r="E74" s="278"/>
      <c r="F74" s="277"/>
      <c r="G74" s="265" t="s">
        <v>19</v>
      </c>
      <c r="H74" s="381">
        <f>COUNT(H60:H71)</f>
        <v>9</v>
      </c>
    </row>
    <row r="75" spans="1:11" ht="18.75" x14ac:dyDescent="0.3">
      <c r="A75" s="276"/>
      <c r="B75" s="276"/>
      <c r="C75" s="277"/>
      <c r="D75" s="277"/>
      <c r="E75" s="278"/>
      <c r="F75" s="277"/>
      <c r="G75" s="298"/>
      <c r="H75" s="348"/>
    </row>
    <row r="76" spans="1:11" ht="18.75" x14ac:dyDescent="0.3">
      <c r="A76" s="232" t="s">
        <v>129</v>
      </c>
      <c r="B76" s="363" t="s">
        <v>122</v>
      </c>
      <c r="C76" s="510" t="str">
        <f>C56</f>
        <v>ARTEMETHER</v>
      </c>
      <c r="D76" s="510"/>
      <c r="E76" s="364" t="s">
        <v>107</v>
      </c>
      <c r="F76" s="364"/>
      <c r="G76" s="365">
        <f>H72</f>
        <v>0.98790020946361545</v>
      </c>
      <c r="H76" s="348"/>
    </row>
    <row r="77" spans="1:11" s="5" customFormat="1" ht="18.75" x14ac:dyDescent="0.3">
      <c r="A77" s="329"/>
      <c r="B77" s="363"/>
      <c r="C77" s="392"/>
      <c r="D77" s="392"/>
      <c r="E77" s="364"/>
      <c r="F77" s="364"/>
      <c r="G77" s="365"/>
      <c r="H77" s="392"/>
      <c r="I77" s="336"/>
      <c r="J77" s="336"/>
      <c r="K77" s="336"/>
    </row>
    <row r="78" spans="1:11" s="5" customFormat="1" ht="18.75" x14ac:dyDescent="0.3">
      <c r="A78" s="329" t="s">
        <v>136</v>
      </c>
      <c r="B78" s="363"/>
      <c r="C78" s="392"/>
      <c r="D78" s="392"/>
      <c r="E78" s="364"/>
      <c r="F78" s="364"/>
      <c r="G78" s="365"/>
      <c r="H78" s="392"/>
      <c r="I78" s="336"/>
      <c r="J78" s="336"/>
      <c r="K78" s="336"/>
    </row>
    <row r="79" spans="1:11" ht="18.75" x14ac:dyDescent="0.3">
      <c r="A79" s="276"/>
      <c r="B79" s="276"/>
      <c r="C79" s="277"/>
      <c r="D79" s="277"/>
      <c r="E79" s="278"/>
      <c r="F79" s="277"/>
      <c r="G79" s="298"/>
      <c r="H79" s="348"/>
    </row>
    <row r="80" spans="1:11" ht="26.25" customHeight="1" x14ac:dyDescent="0.4">
      <c r="A80" s="231" t="s">
        <v>130</v>
      </c>
      <c r="B80" s="231" t="s">
        <v>131</v>
      </c>
      <c r="D80" s="385" t="s">
        <v>132</v>
      </c>
    </row>
    <row r="81" spans="1:11" ht="18.75" x14ac:dyDescent="0.3">
      <c r="A81" s="231"/>
      <c r="B81" s="231"/>
    </row>
    <row r="82" spans="1:11" ht="26.25" customHeight="1" x14ac:dyDescent="0.4">
      <c r="A82" s="232" t="s">
        <v>4</v>
      </c>
      <c r="B82" s="492" t="str">
        <f>B26</f>
        <v>ARTEMETHER</v>
      </c>
      <c r="C82" s="492"/>
    </row>
    <row r="83" spans="1:11" ht="26.25" customHeight="1" x14ac:dyDescent="0.4">
      <c r="A83" s="234" t="s">
        <v>47</v>
      </c>
      <c r="B83" s="366" t="str">
        <f>B27</f>
        <v>F0J018</v>
      </c>
    </row>
    <row r="84" spans="1:11" ht="27" customHeight="1" x14ac:dyDescent="0.4">
      <c r="A84" s="234" t="s">
        <v>6</v>
      </c>
      <c r="B84" s="366">
        <f>B28</f>
        <v>99.8</v>
      </c>
    </row>
    <row r="85" spans="1:11" s="3" customFormat="1" ht="27" customHeight="1" x14ac:dyDescent="0.4">
      <c r="A85" s="234" t="s">
        <v>48</v>
      </c>
      <c r="B85" s="366">
        <f>B29</f>
        <v>0</v>
      </c>
      <c r="C85" s="503" t="s">
        <v>49</v>
      </c>
      <c r="D85" s="504"/>
      <c r="E85" s="504"/>
      <c r="F85" s="504"/>
      <c r="G85" s="505"/>
      <c r="I85" s="236"/>
      <c r="J85" s="236"/>
      <c r="K85" s="236"/>
    </row>
    <row r="86" spans="1:11" s="3" customFormat="1" ht="19.5" customHeight="1" x14ac:dyDescent="0.3">
      <c r="A86" s="234" t="s">
        <v>50</v>
      </c>
      <c r="B86" s="233">
        <f>B84-B85</f>
        <v>99.8</v>
      </c>
      <c r="C86" s="237"/>
      <c r="D86" s="237"/>
      <c r="E86" s="237"/>
      <c r="F86" s="237"/>
      <c r="G86" s="238"/>
      <c r="I86" s="236"/>
      <c r="J86" s="236"/>
      <c r="K86" s="236"/>
    </row>
    <row r="87" spans="1:11" s="3" customFormat="1" ht="27" customHeight="1" x14ac:dyDescent="0.4">
      <c r="A87" s="234" t="s">
        <v>51</v>
      </c>
      <c r="B87" s="368">
        <v>1</v>
      </c>
      <c r="C87" s="489" t="s">
        <v>52</v>
      </c>
      <c r="D87" s="490"/>
      <c r="E87" s="490"/>
      <c r="F87" s="490"/>
      <c r="G87" s="490"/>
      <c r="H87" s="491"/>
      <c r="I87" s="236"/>
      <c r="J87" s="236"/>
      <c r="K87" s="236"/>
    </row>
    <row r="88" spans="1:11" s="3" customFormat="1" ht="27" customHeight="1" x14ac:dyDescent="0.4">
      <c r="A88" s="234" t="s">
        <v>53</v>
      </c>
      <c r="B88" s="368">
        <v>1</v>
      </c>
      <c r="C88" s="489" t="s">
        <v>54</v>
      </c>
      <c r="D88" s="490"/>
      <c r="E88" s="490"/>
      <c r="F88" s="490"/>
      <c r="G88" s="490"/>
      <c r="H88" s="491"/>
      <c r="I88" s="236"/>
      <c r="J88" s="236"/>
      <c r="K88" s="236"/>
    </row>
    <row r="89" spans="1:11" s="3" customFormat="1" ht="18.75" x14ac:dyDescent="0.3">
      <c r="A89" s="234"/>
      <c r="B89" s="233"/>
      <c r="C89" s="237"/>
      <c r="D89" s="237"/>
      <c r="E89" s="237"/>
      <c r="F89" s="237"/>
      <c r="G89" s="238"/>
      <c r="I89" s="236"/>
      <c r="J89" s="236"/>
      <c r="K89" s="236"/>
    </row>
    <row r="90" spans="1:11" s="3" customFormat="1" ht="18.75" x14ac:dyDescent="0.3">
      <c r="A90" s="234" t="s">
        <v>55</v>
      </c>
      <c r="B90" s="243">
        <f>B87/B88</f>
        <v>1</v>
      </c>
      <c r="C90" s="226" t="s">
        <v>56</v>
      </c>
      <c r="D90" s="237"/>
      <c r="E90" s="237"/>
      <c r="F90" s="237"/>
      <c r="G90" s="238"/>
      <c r="I90" s="236"/>
      <c r="J90" s="236"/>
      <c r="K90" s="236"/>
    </row>
    <row r="91" spans="1:11" ht="19.5" customHeight="1" x14ac:dyDescent="0.3">
      <c r="A91" s="231"/>
      <c r="B91" s="231"/>
    </row>
    <row r="92" spans="1:11" ht="27" customHeight="1" x14ac:dyDescent="0.4">
      <c r="A92" s="244" t="s">
        <v>125</v>
      </c>
      <c r="B92" s="369">
        <v>100</v>
      </c>
      <c r="D92" s="306" t="s">
        <v>58</v>
      </c>
      <c r="E92" s="307"/>
      <c r="F92" s="495" t="s">
        <v>59</v>
      </c>
      <c r="G92" s="496"/>
    </row>
    <row r="93" spans="1:11" ht="26.25" customHeight="1" x14ac:dyDescent="0.4">
      <c r="A93" s="245" t="s">
        <v>60</v>
      </c>
      <c r="B93" s="370">
        <v>10</v>
      </c>
      <c r="C93" s="303" t="s">
        <v>126</v>
      </c>
      <c r="D93" s="248" t="s">
        <v>62</v>
      </c>
      <c r="E93" s="304" t="s">
        <v>63</v>
      </c>
      <c r="F93" s="248" t="s">
        <v>62</v>
      </c>
      <c r="G93" s="249" t="s">
        <v>63</v>
      </c>
    </row>
    <row r="94" spans="1:11" ht="26.25" customHeight="1" x14ac:dyDescent="0.4">
      <c r="A94" s="245" t="s">
        <v>65</v>
      </c>
      <c r="B94" s="370">
        <v>100</v>
      </c>
      <c r="C94" s="302">
        <v>1</v>
      </c>
      <c r="D94" s="402">
        <v>1591675</v>
      </c>
      <c r="E94" s="317">
        <f>IF(ISBLANK(D94),"-",$D$104/$D$101*D94)</f>
        <v>1333498.9376746807</v>
      </c>
      <c r="F94" s="402">
        <v>1387513</v>
      </c>
      <c r="G94" s="320">
        <f>IF(ISBLANK(F94),"-",$D$104/$F$101*F94)</f>
        <v>1324719.9496658875</v>
      </c>
    </row>
    <row r="95" spans="1:11" ht="26.25" customHeight="1" x14ac:dyDescent="0.4">
      <c r="A95" s="245" t="s">
        <v>66</v>
      </c>
      <c r="B95" s="370">
        <v>1</v>
      </c>
      <c r="C95" s="277">
        <v>2</v>
      </c>
      <c r="D95" s="405">
        <v>1585029</v>
      </c>
      <c r="E95" s="317">
        <f t="shared" ref="E95:E97" si="1">IF(ISBLANK(D95),"-",$D$104/$D$101*D95)</f>
        <v>1327930.9455030465</v>
      </c>
      <c r="F95" s="405">
        <v>1383775</v>
      </c>
      <c r="G95" s="320">
        <f t="shared" ref="G95:G97" si="2">IF(ISBLANK(F95),"-",$D$104/$F$101*F95)</f>
        <v>1321151.1159527251</v>
      </c>
    </row>
    <row r="96" spans="1:11" ht="26.25" customHeight="1" x14ac:dyDescent="0.4">
      <c r="A96" s="245" t="s">
        <v>67</v>
      </c>
      <c r="B96" s="370">
        <v>1</v>
      </c>
      <c r="C96" s="277">
        <v>3</v>
      </c>
      <c r="D96" s="405">
        <v>1583369</v>
      </c>
      <c r="E96" s="317">
        <f t="shared" si="1"/>
        <v>1326540.204154128</v>
      </c>
      <c r="F96" s="405">
        <v>1383653</v>
      </c>
      <c r="G96" s="320">
        <f t="shared" si="2"/>
        <v>1321034.637163799</v>
      </c>
    </row>
    <row r="97" spans="1:9" ht="26.25" customHeight="1" x14ac:dyDescent="0.4">
      <c r="A97" s="245" t="s">
        <v>68</v>
      </c>
      <c r="B97" s="370">
        <v>1</v>
      </c>
      <c r="C97" s="305">
        <v>4</v>
      </c>
      <c r="D97" s="406"/>
      <c r="E97" s="317" t="str">
        <f t="shared" si="1"/>
        <v>-</v>
      </c>
      <c r="F97" s="407"/>
      <c r="G97" s="320" t="str">
        <f t="shared" si="2"/>
        <v>-</v>
      </c>
    </row>
    <row r="98" spans="1:9" ht="27" customHeight="1" x14ac:dyDescent="0.4">
      <c r="A98" s="245" t="s">
        <v>69</v>
      </c>
      <c r="B98" s="370">
        <v>1</v>
      </c>
      <c r="C98" s="298" t="s">
        <v>70</v>
      </c>
      <c r="D98" s="408">
        <f>AVERAGE(D94:D97)</f>
        <v>1586691</v>
      </c>
      <c r="E98" s="280">
        <f>AVERAGE(E94:E97)</f>
        <v>1329323.3624439519</v>
      </c>
      <c r="F98" s="410">
        <f>AVERAGE(F94:F97)</f>
        <v>1384980.3333333333</v>
      </c>
      <c r="G98" s="323">
        <f>AVERAGE(G94:G97)</f>
        <v>1322301.9009274708</v>
      </c>
    </row>
    <row r="99" spans="1:9" ht="26.25" customHeight="1" x14ac:dyDescent="0.4">
      <c r="A99" s="245" t="s">
        <v>71</v>
      </c>
      <c r="B99" s="367">
        <v>1</v>
      </c>
      <c r="C99" s="350" t="s">
        <v>112</v>
      </c>
      <c r="D99" s="412">
        <v>23.92</v>
      </c>
      <c r="E99" s="364"/>
      <c r="F99" s="414">
        <v>20.99</v>
      </c>
      <c r="G99" s="336"/>
    </row>
    <row r="100" spans="1:9" ht="26.25" customHeight="1" x14ac:dyDescent="0.4">
      <c r="A100" s="245" t="s">
        <v>73</v>
      </c>
      <c r="B100" s="367">
        <v>1</v>
      </c>
      <c r="C100" s="351" t="s">
        <v>113</v>
      </c>
      <c r="D100" s="352">
        <f>D99*B90</f>
        <v>23.92</v>
      </c>
      <c r="E100" s="259"/>
      <c r="F100" s="258">
        <f>F99*B90</f>
        <v>20.99</v>
      </c>
    </row>
    <row r="101" spans="1:9" ht="19.5" customHeight="1" x14ac:dyDescent="0.3">
      <c r="A101" s="245" t="s">
        <v>75</v>
      </c>
      <c r="B101" s="349">
        <f>(B100/B99)*(B98/B97)*(B96/B95)*(B94/B93)*B92</f>
        <v>1000</v>
      </c>
      <c r="C101" s="351" t="s">
        <v>76</v>
      </c>
      <c r="D101" s="353">
        <f>D100*$B$86/100</f>
        <v>23.872159999999997</v>
      </c>
      <c r="E101" s="261"/>
      <c r="F101" s="260">
        <f>F100*$B$86/100</f>
        <v>20.948019999999996</v>
      </c>
    </row>
    <row r="102" spans="1:9" ht="19.5" customHeight="1" x14ac:dyDescent="0.3">
      <c r="A102" s="497" t="s">
        <v>77</v>
      </c>
      <c r="B102" s="498"/>
      <c r="C102" s="351" t="s">
        <v>78</v>
      </c>
      <c r="D102" s="352">
        <f>D101/$B$101</f>
        <v>2.3872159999999996E-2</v>
      </c>
      <c r="E102" s="261"/>
      <c r="F102" s="262">
        <f>F101/$B$101</f>
        <v>2.0948019999999998E-2</v>
      </c>
      <c r="G102" s="336"/>
      <c r="H102" s="337"/>
    </row>
    <row r="103" spans="1:9" ht="19.5" customHeight="1" x14ac:dyDescent="0.3">
      <c r="A103" s="499"/>
      <c r="B103" s="500"/>
      <c r="C103" s="351" t="s">
        <v>127</v>
      </c>
      <c r="D103" s="359">
        <f>$B$56/$B$119</f>
        <v>0.02</v>
      </c>
      <c r="F103" s="264"/>
      <c r="G103" s="338"/>
      <c r="H103" s="337"/>
    </row>
    <row r="104" spans="1:9" ht="18.75" x14ac:dyDescent="0.3">
      <c r="C104" s="351" t="s">
        <v>80</v>
      </c>
      <c r="D104" s="352">
        <f>D103*$B$101</f>
        <v>20</v>
      </c>
      <c r="F104" s="264"/>
      <c r="G104" s="336"/>
      <c r="H104" s="337"/>
    </row>
    <row r="105" spans="1:9" ht="19.5" customHeight="1" x14ac:dyDescent="0.3">
      <c r="C105" s="354" t="s">
        <v>81</v>
      </c>
      <c r="D105" s="360">
        <f>D104/B34</f>
        <v>20</v>
      </c>
      <c r="F105" s="267"/>
      <c r="G105" s="336"/>
      <c r="H105" s="337"/>
      <c r="I105" s="281"/>
    </row>
    <row r="106" spans="1:9" ht="18.75" x14ac:dyDescent="0.3">
      <c r="C106" s="356" t="s">
        <v>116</v>
      </c>
      <c r="D106" s="357">
        <f>AVERAGE(E94:E97,G94:G97)</f>
        <v>1325812.6316857112</v>
      </c>
      <c r="F106" s="267"/>
      <c r="G106" s="339"/>
      <c r="H106" s="337"/>
      <c r="I106" s="283"/>
    </row>
    <row r="107" spans="1:9" ht="18.75" x14ac:dyDescent="0.3">
      <c r="C107" s="263" t="s">
        <v>83</v>
      </c>
      <c r="D107" s="282">
        <f>STDEV(E94:E97,G94:G97)/D106</f>
        <v>3.5353349130577199E-3</v>
      </c>
      <c r="F107" s="267"/>
      <c r="G107" s="336"/>
      <c r="H107" s="337"/>
      <c r="I107" s="283"/>
    </row>
    <row r="108" spans="1:9" ht="19.5" customHeight="1" x14ac:dyDescent="0.3">
      <c r="C108" s="265" t="s">
        <v>19</v>
      </c>
      <c r="D108" s="284">
        <f>COUNT(E94:E97,G94:G97)</f>
        <v>6</v>
      </c>
      <c r="F108" s="267"/>
      <c r="G108" s="336"/>
      <c r="H108" s="337"/>
      <c r="I108" s="283"/>
    </row>
    <row r="109" spans="1:9" ht="19.5" customHeight="1" x14ac:dyDescent="0.3">
      <c r="A109" s="225"/>
      <c r="B109" s="225"/>
      <c r="C109" s="225"/>
      <c r="D109" s="225"/>
      <c r="E109" s="225"/>
    </row>
    <row r="110" spans="1:9" ht="26.25" customHeight="1" x14ac:dyDescent="0.4">
      <c r="A110" s="244" t="s">
        <v>117</v>
      </c>
      <c r="B110" s="369">
        <v>1000</v>
      </c>
      <c r="C110" s="285" t="s">
        <v>133</v>
      </c>
      <c r="D110" s="286" t="s">
        <v>62</v>
      </c>
      <c r="E110" s="287" t="s">
        <v>119</v>
      </c>
      <c r="F110" s="288" t="s">
        <v>120</v>
      </c>
    </row>
    <row r="111" spans="1:9" ht="26.25" customHeight="1" x14ac:dyDescent="0.4">
      <c r="A111" s="245" t="s">
        <v>121</v>
      </c>
      <c r="B111" s="370">
        <v>5</v>
      </c>
      <c r="C111" s="251">
        <v>1</v>
      </c>
      <c r="D111" s="383">
        <v>625014</v>
      </c>
      <c r="E111" s="289">
        <f t="shared" ref="E111:E116" si="3">IF(ISBLANK(D111),"-",D111/$D$106*$D$103*$B$119)</f>
        <v>37.713564349153785</v>
      </c>
      <c r="F111" s="290">
        <f t="shared" ref="F111:F116" si="4">IF(ISBLANK(D111), "-", E111/$B$56)</f>
        <v>0.47141955436442229</v>
      </c>
    </row>
    <row r="112" spans="1:9" ht="26.25" customHeight="1" x14ac:dyDescent="0.4">
      <c r="A112" s="245" t="s">
        <v>94</v>
      </c>
      <c r="B112" s="370">
        <v>20</v>
      </c>
      <c r="C112" s="251">
        <v>2</v>
      </c>
      <c r="D112" s="383">
        <v>630294</v>
      </c>
      <c r="E112" s="291">
        <f t="shared" si="3"/>
        <v>38.03216140420141</v>
      </c>
      <c r="F112" s="313">
        <f t="shared" si="4"/>
        <v>0.47540201755251765</v>
      </c>
    </row>
    <row r="113" spans="1:9" ht="26.25" customHeight="1" x14ac:dyDescent="0.4">
      <c r="A113" s="245" t="s">
        <v>95</v>
      </c>
      <c r="B113" s="370">
        <v>1</v>
      </c>
      <c r="C113" s="251">
        <v>3</v>
      </c>
      <c r="D113" s="383">
        <v>570910</v>
      </c>
      <c r="E113" s="291">
        <f t="shared" si="3"/>
        <v>34.44890998053706</v>
      </c>
      <c r="F113" s="313">
        <f t="shared" si="4"/>
        <v>0.43061137475671324</v>
      </c>
    </row>
    <row r="114" spans="1:9" ht="26.25" customHeight="1" x14ac:dyDescent="0.4">
      <c r="A114" s="245" t="s">
        <v>96</v>
      </c>
      <c r="B114" s="370">
        <v>1</v>
      </c>
      <c r="C114" s="251">
        <v>4</v>
      </c>
      <c r="D114" s="383">
        <v>639014</v>
      </c>
      <c r="E114" s="291">
        <f t="shared" si="3"/>
        <v>38.558329267840655</v>
      </c>
      <c r="F114" s="313">
        <f t="shared" si="4"/>
        <v>0.48197911584800818</v>
      </c>
    </row>
    <row r="115" spans="1:9" ht="26.25" customHeight="1" x14ac:dyDescent="0.4">
      <c r="A115" s="245" t="s">
        <v>97</v>
      </c>
      <c r="B115" s="370">
        <v>1</v>
      </c>
      <c r="C115" s="251">
        <v>5</v>
      </c>
      <c r="D115" s="383">
        <v>562263</v>
      </c>
      <c r="E115" s="291">
        <f t="shared" si="3"/>
        <v>33.927146962545251</v>
      </c>
      <c r="F115" s="313">
        <f t="shared" si="4"/>
        <v>0.42408933703181562</v>
      </c>
    </row>
    <row r="116" spans="1:9" ht="26.25" customHeight="1" x14ac:dyDescent="0.4">
      <c r="A116" s="245" t="s">
        <v>99</v>
      </c>
      <c r="B116" s="370">
        <v>1</v>
      </c>
      <c r="C116" s="254">
        <v>6</v>
      </c>
      <c r="D116" s="384">
        <v>619585</v>
      </c>
      <c r="E116" s="292">
        <f t="shared" si="3"/>
        <v>37.385976581757291</v>
      </c>
      <c r="F116" s="314">
        <f t="shared" si="4"/>
        <v>0.46732470727196612</v>
      </c>
    </row>
    <row r="117" spans="1:9" ht="26.25" customHeight="1" x14ac:dyDescent="0.4">
      <c r="A117" s="245" t="s">
        <v>100</v>
      </c>
      <c r="B117" s="370">
        <v>1</v>
      </c>
      <c r="C117" s="251"/>
      <c r="D117" s="277"/>
      <c r="E117" s="279"/>
      <c r="F117" s="293"/>
    </row>
    <row r="118" spans="1:9" ht="26.25" customHeight="1" x14ac:dyDescent="0.4">
      <c r="A118" s="245" t="s">
        <v>101</v>
      </c>
      <c r="B118" s="370">
        <v>1</v>
      </c>
      <c r="C118" s="251"/>
      <c r="D118" s="294"/>
      <c r="E118" s="295" t="s">
        <v>70</v>
      </c>
      <c r="F118" s="386">
        <f>AVERAGE(F111:F116)</f>
        <v>0.45847101780424054</v>
      </c>
    </row>
    <row r="119" spans="1:9" ht="27" customHeight="1" x14ac:dyDescent="0.4">
      <c r="A119" s="245" t="s">
        <v>102</v>
      </c>
      <c r="B119" s="340">
        <f>(B118/B117)*(B116/B115)*(B114/B113)*(B112/B111)*B110</f>
        <v>4000</v>
      </c>
      <c r="C119" s="296"/>
      <c r="D119" s="297"/>
      <c r="E119" s="298" t="s">
        <v>83</v>
      </c>
      <c r="F119" s="387">
        <f>STDEV(F111:F116)/F118</f>
        <v>5.3814214740396646E-2</v>
      </c>
    </row>
    <row r="120" spans="1:9" ht="27" customHeight="1" x14ac:dyDescent="0.4">
      <c r="A120" s="497" t="s">
        <v>77</v>
      </c>
      <c r="B120" s="501"/>
      <c r="C120" s="299"/>
      <c r="D120" s="300"/>
      <c r="E120" s="301" t="s">
        <v>19</v>
      </c>
      <c r="F120" s="388">
        <f>COUNT(F111:F116)</f>
        <v>6</v>
      </c>
      <c r="I120" s="283"/>
    </row>
    <row r="121" spans="1:9" ht="19.5" customHeight="1" x14ac:dyDescent="0.3">
      <c r="A121" s="499"/>
      <c r="B121" s="502"/>
      <c r="C121" s="279"/>
      <c r="D121" s="279"/>
      <c r="E121" s="279"/>
      <c r="F121" s="277"/>
      <c r="G121" s="279"/>
      <c r="H121" s="279"/>
    </row>
    <row r="122" spans="1:9" ht="18.75" x14ac:dyDescent="0.3">
      <c r="A122" s="242"/>
      <c r="B122" s="242"/>
      <c r="C122" s="279"/>
      <c r="D122" s="279"/>
      <c r="E122" s="279"/>
      <c r="F122" s="277"/>
      <c r="G122" s="279"/>
      <c r="H122" s="279"/>
    </row>
    <row r="123" spans="1:9" ht="26.25" customHeight="1" x14ac:dyDescent="0.4">
      <c r="A123" s="232" t="s">
        <v>129</v>
      </c>
      <c r="B123" s="363" t="s">
        <v>122</v>
      </c>
      <c r="C123" s="510" t="str">
        <f>C76</f>
        <v>ARTEMETHER</v>
      </c>
      <c r="D123" s="510"/>
      <c r="E123" s="364" t="s">
        <v>123</v>
      </c>
      <c r="F123" s="364"/>
      <c r="G123" s="389">
        <f>F118</f>
        <v>0.45847101780424054</v>
      </c>
      <c r="H123" s="279"/>
    </row>
    <row r="124" spans="1:9" ht="18.75" x14ac:dyDescent="0.3">
      <c r="A124" s="242"/>
      <c r="B124" s="242"/>
      <c r="C124" s="279"/>
      <c r="D124" s="279"/>
      <c r="E124" s="279"/>
      <c r="F124" s="277"/>
      <c r="G124" s="279"/>
      <c r="H124" s="279"/>
    </row>
    <row r="125" spans="1:9" ht="26.25" customHeight="1" x14ac:dyDescent="0.4">
      <c r="A125" s="231" t="s">
        <v>130</v>
      </c>
      <c r="B125" s="231" t="s">
        <v>131</v>
      </c>
      <c r="D125" s="385" t="s">
        <v>134</v>
      </c>
    </row>
    <row r="126" spans="1:9" ht="19.5" customHeight="1" x14ac:dyDescent="0.3">
      <c r="A126" s="225"/>
      <c r="B126" s="225"/>
      <c r="C126" s="225"/>
      <c r="D126" s="225"/>
      <c r="E126" s="225"/>
    </row>
    <row r="127" spans="1:9" ht="26.25" customHeight="1" x14ac:dyDescent="0.4">
      <c r="A127" s="244" t="s">
        <v>117</v>
      </c>
      <c r="B127" s="369">
        <v>1000</v>
      </c>
      <c r="C127" s="285" t="s">
        <v>133</v>
      </c>
      <c r="D127" s="286" t="s">
        <v>62</v>
      </c>
      <c r="E127" s="287" t="s">
        <v>119</v>
      </c>
      <c r="F127" s="288" t="s">
        <v>120</v>
      </c>
    </row>
    <row r="128" spans="1:9" ht="26.25" customHeight="1" x14ac:dyDescent="0.4">
      <c r="A128" s="245" t="s">
        <v>121</v>
      </c>
      <c r="B128" s="370">
        <v>5</v>
      </c>
      <c r="C128" s="251">
        <v>1</v>
      </c>
      <c r="D128" s="383">
        <v>953965</v>
      </c>
      <c r="E128" s="345">
        <f t="shared" ref="E128:E133" si="5">IF(ISBLANK(D128),"-",D128/$D$106*$D$103*$B$136)</f>
        <v>57.562583261079745</v>
      </c>
      <c r="F128" s="342">
        <f t="shared" ref="F128:F133" si="6">IF(ISBLANK(D128), "-", E128/$B$56)</f>
        <v>0.71953229076349678</v>
      </c>
    </row>
    <row r="129" spans="1:9" ht="26.25" customHeight="1" x14ac:dyDescent="0.4">
      <c r="A129" s="245" t="s">
        <v>94</v>
      </c>
      <c r="B129" s="370">
        <v>20</v>
      </c>
      <c r="C129" s="251">
        <v>2</v>
      </c>
      <c r="D129" s="383">
        <v>924748</v>
      </c>
      <c r="E129" s="346">
        <f t="shared" si="5"/>
        <v>55.799619216131582</v>
      </c>
      <c r="F129" s="343">
        <f t="shared" si="6"/>
        <v>0.69749524020164477</v>
      </c>
    </row>
    <row r="130" spans="1:9" ht="26.25" customHeight="1" x14ac:dyDescent="0.4">
      <c r="A130" s="245" t="s">
        <v>95</v>
      </c>
      <c r="B130" s="370">
        <v>1</v>
      </c>
      <c r="C130" s="251">
        <v>3</v>
      </c>
      <c r="D130" s="383">
        <v>943907</v>
      </c>
      <c r="E130" s="346">
        <f t="shared" si="5"/>
        <v>56.955680007354566</v>
      </c>
      <c r="F130" s="343">
        <f t="shared" si="6"/>
        <v>0.7119460000919321</v>
      </c>
    </row>
    <row r="131" spans="1:9" ht="26.25" customHeight="1" x14ac:dyDescent="0.4">
      <c r="A131" s="245" t="s">
        <v>96</v>
      </c>
      <c r="B131" s="370">
        <v>1</v>
      </c>
      <c r="C131" s="251">
        <v>4</v>
      </c>
      <c r="D131" s="383">
        <v>929650</v>
      </c>
      <c r="E131" s="346">
        <f t="shared" si="5"/>
        <v>56.095407618374665</v>
      </c>
      <c r="F131" s="343">
        <f t="shared" si="6"/>
        <v>0.70119259522968336</v>
      </c>
    </row>
    <row r="132" spans="1:9" ht="26.25" customHeight="1" x14ac:dyDescent="0.4">
      <c r="A132" s="245" t="s">
        <v>97</v>
      </c>
      <c r="B132" s="370">
        <v>1</v>
      </c>
      <c r="C132" s="251">
        <v>5</v>
      </c>
      <c r="D132" s="383">
        <v>910023</v>
      </c>
      <c r="E132" s="346">
        <f t="shared" si="5"/>
        <v>54.911107542727009</v>
      </c>
      <c r="F132" s="343">
        <f t="shared" si="6"/>
        <v>0.68638884428408764</v>
      </c>
    </row>
    <row r="133" spans="1:9" ht="26.25" customHeight="1" x14ac:dyDescent="0.4">
      <c r="A133" s="245" t="s">
        <v>99</v>
      </c>
      <c r="B133" s="370">
        <v>1</v>
      </c>
      <c r="C133" s="254">
        <v>6</v>
      </c>
      <c r="D133" s="384">
        <v>918344</v>
      </c>
      <c r="E133" s="347">
        <f t="shared" si="5"/>
        <v>55.413199606183674</v>
      </c>
      <c r="F133" s="344">
        <f t="shared" si="6"/>
        <v>0.69266499507729595</v>
      </c>
    </row>
    <row r="134" spans="1:9" ht="26.25" customHeight="1" x14ac:dyDescent="0.4">
      <c r="A134" s="245" t="s">
        <v>100</v>
      </c>
      <c r="B134" s="370">
        <v>1</v>
      </c>
      <c r="C134" s="251"/>
      <c r="D134" s="277"/>
      <c r="E134" s="279"/>
      <c r="F134" s="293"/>
    </row>
    <row r="135" spans="1:9" ht="26.25" customHeight="1" x14ac:dyDescent="0.4">
      <c r="A135" s="245" t="s">
        <v>101</v>
      </c>
      <c r="B135" s="370">
        <v>1</v>
      </c>
      <c r="C135" s="251"/>
      <c r="D135" s="294"/>
      <c r="E135" s="295" t="s">
        <v>70</v>
      </c>
      <c r="F135" s="386">
        <f>AVERAGE(F128:F133)</f>
        <v>0.7015366609413568</v>
      </c>
    </row>
    <row r="136" spans="1:9" ht="27" customHeight="1" x14ac:dyDescent="0.4">
      <c r="A136" s="245" t="s">
        <v>102</v>
      </c>
      <c r="B136" s="390">
        <f>(B135/B134)*(B133/B132)*(B131/B130)*(B129/B128)*B127</f>
        <v>4000</v>
      </c>
      <c r="C136" s="296"/>
      <c r="D136" s="297"/>
      <c r="E136" s="298" t="s">
        <v>83</v>
      </c>
      <c r="F136" s="387">
        <f>STDEV(F128:F133)/F135</f>
        <v>1.7537126349699842E-2</v>
      </c>
    </row>
    <row r="137" spans="1:9" ht="27" customHeight="1" x14ac:dyDescent="0.4">
      <c r="A137" s="497" t="s">
        <v>77</v>
      </c>
      <c r="B137" s="501"/>
      <c r="C137" s="299"/>
      <c r="D137" s="300"/>
      <c r="E137" s="301" t="s">
        <v>19</v>
      </c>
      <c r="F137" s="388">
        <f>COUNT(F128:F133)</f>
        <v>6</v>
      </c>
      <c r="I137" s="283"/>
    </row>
    <row r="138" spans="1:9" ht="19.5" customHeight="1" x14ac:dyDescent="0.3">
      <c r="A138" s="499"/>
      <c r="B138" s="502"/>
      <c r="C138" s="279"/>
      <c r="D138" s="279"/>
      <c r="E138" s="279"/>
      <c r="F138" s="277"/>
      <c r="G138" s="279"/>
      <c r="H138" s="279"/>
    </row>
    <row r="139" spans="1:9" ht="18.75" x14ac:dyDescent="0.3">
      <c r="A139" s="242"/>
      <c r="B139" s="242"/>
      <c r="C139" s="279"/>
      <c r="D139" s="279"/>
      <c r="E139" s="279"/>
      <c r="F139" s="277"/>
      <c r="G139" s="279"/>
      <c r="H139" s="279"/>
    </row>
    <row r="140" spans="1:9" ht="26.25" customHeight="1" x14ac:dyDescent="0.4">
      <c r="A140" s="232" t="s">
        <v>129</v>
      </c>
      <c r="B140" s="363" t="s">
        <v>122</v>
      </c>
      <c r="C140" s="510" t="str">
        <f>C123</f>
        <v>ARTEMETHER</v>
      </c>
      <c r="D140" s="510"/>
      <c r="E140" s="364" t="s">
        <v>123</v>
      </c>
      <c r="F140" s="364"/>
      <c r="G140" s="389">
        <f>F135</f>
        <v>0.7015366609413568</v>
      </c>
      <c r="H140" s="279"/>
    </row>
    <row r="141" spans="1:9" ht="19.5" customHeight="1" x14ac:dyDescent="0.3">
      <c r="A141" s="315"/>
      <c r="B141" s="315"/>
      <c r="C141" s="316"/>
      <c r="D141" s="316"/>
      <c r="E141" s="316"/>
      <c r="F141" s="316"/>
      <c r="G141" s="316"/>
      <c r="H141" s="316"/>
    </row>
    <row r="142" spans="1:9" ht="18.75" x14ac:dyDescent="0.3">
      <c r="B142" s="511" t="s">
        <v>25</v>
      </c>
      <c r="C142" s="511"/>
      <c r="E142" s="303" t="s">
        <v>26</v>
      </c>
      <c r="F142" s="328"/>
      <c r="G142" s="511" t="s">
        <v>27</v>
      </c>
      <c r="H142" s="511"/>
    </row>
    <row r="143" spans="1:9" ht="39.75" customHeight="1" x14ac:dyDescent="0.3">
      <c r="A143" s="329" t="s">
        <v>28</v>
      </c>
      <c r="B143" s="361"/>
      <c r="C143" s="361"/>
      <c r="E143" s="324"/>
      <c r="F143" s="279"/>
      <c r="G143" s="326"/>
      <c r="H143" s="326"/>
    </row>
    <row r="144" spans="1:9" ht="39" customHeight="1" x14ac:dyDescent="0.3">
      <c r="A144" s="329" t="s">
        <v>29</v>
      </c>
      <c r="B144" s="362"/>
      <c r="C144" s="362"/>
      <c r="E144" s="325"/>
      <c r="F144" s="279"/>
      <c r="G144" s="327"/>
      <c r="H144" s="327"/>
    </row>
    <row r="145" spans="1:8" ht="18.75" x14ac:dyDescent="0.3">
      <c r="A145" s="276"/>
      <c r="B145" s="276"/>
      <c r="C145" s="277"/>
      <c r="D145" s="277"/>
      <c r="E145" s="277"/>
      <c r="F145" s="278"/>
      <c r="G145" s="277"/>
      <c r="H145" s="277"/>
    </row>
    <row r="146" spans="1:8" ht="18.75" x14ac:dyDescent="0.3">
      <c r="A146" s="276"/>
      <c r="B146" s="276"/>
      <c r="C146" s="277"/>
      <c r="D146" s="277"/>
      <c r="E146" s="277"/>
      <c r="F146" s="278"/>
      <c r="G146" s="277"/>
      <c r="H146" s="277"/>
    </row>
    <row r="147" spans="1:8" ht="18.75" x14ac:dyDescent="0.3">
      <c r="A147" s="276"/>
      <c r="B147" s="276"/>
      <c r="C147" s="277"/>
      <c r="D147" s="277"/>
      <c r="E147" s="277"/>
      <c r="F147" s="278"/>
      <c r="G147" s="277"/>
      <c r="H147" s="277"/>
    </row>
    <row r="148" spans="1:8" ht="18.75" x14ac:dyDescent="0.3">
      <c r="A148" s="276"/>
      <c r="B148" s="276"/>
      <c r="C148" s="277"/>
      <c r="D148" s="277"/>
      <c r="E148" s="277"/>
      <c r="F148" s="278"/>
      <c r="G148" s="277"/>
      <c r="H148" s="277"/>
    </row>
    <row r="149" spans="1:8" ht="18.75" x14ac:dyDescent="0.3">
      <c r="A149" s="276"/>
      <c r="B149" s="276"/>
      <c r="C149" s="277"/>
      <c r="D149" s="277"/>
      <c r="E149" s="277"/>
      <c r="F149" s="278"/>
      <c r="G149" s="277"/>
      <c r="H149" s="277"/>
    </row>
    <row r="150" spans="1:8" ht="18.75" x14ac:dyDescent="0.3">
      <c r="A150" s="276"/>
      <c r="B150" s="276"/>
      <c r="C150" s="277"/>
      <c r="D150" s="277"/>
      <c r="E150" s="277"/>
      <c r="F150" s="278"/>
      <c r="G150" s="277"/>
      <c r="H150" s="277"/>
    </row>
    <row r="151" spans="1:8" ht="18.75" x14ac:dyDescent="0.3">
      <c r="A151" s="276"/>
      <c r="B151" s="276"/>
      <c r="C151" s="277"/>
      <c r="D151" s="277"/>
      <c r="E151" s="277"/>
      <c r="F151" s="278"/>
      <c r="G151" s="277"/>
      <c r="H151" s="277"/>
    </row>
    <row r="152" spans="1:8" ht="18.75" x14ac:dyDescent="0.3">
      <c r="A152" s="276"/>
      <c r="B152" s="276"/>
      <c r="C152" s="277"/>
      <c r="D152" s="277"/>
      <c r="E152" s="277"/>
      <c r="F152" s="278"/>
      <c r="G152" s="277"/>
      <c r="H152" s="277"/>
    </row>
    <row r="153" spans="1:8" ht="18.75" x14ac:dyDescent="0.3">
      <c r="A153" s="276"/>
      <c r="B153" s="276"/>
      <c r="C153" s="277"/>
      <c r="D153" s="277"/>
      <c r="E153" s="277"/>
      <c r="F153" s="278"/>
      <c r="G153" s="277"/>
      <c r="H153" s="277"/>
    </row>
    <row r="252" spans="1:1" x14ac:dyDescent="0.25">
      <c r="A252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C140:D140"/>
    <mergeCell ref="B142:C142"/>
    <mergeCell ref="G142:H142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7:B138"/>
    <mergeCell ref="C123:D123"/>
    <mergeCell ref="F92:G92"/>
    <mergeCell ref="A102:B103"/>
    <mergeCell ref="A120:B121"/>
    <mergeCell ref="A46:B47"/>
    <mergeCell ref="C85:G85"/>
    <mergeCell ref="A70:B71"/>
    <mergeCell ref="C76:D76"/>
    <mergeCell ref="A1:H7"/>
    <mergeCell ref="A8:H14"/>
    <mergeCell ref="A16:H16"/>
    <mergeCell ref="C87:H87"/>
    <mergeCell ref="C88:H88"/>
    <mergeCell ref="B82:C82"/>
    <mergeCell ref="B26:C26"/>
    <mergeCell ref="B18:C18"/>
    <mergeCell ref="B20:C20"/>
    <mergeCell ref="B21:H21"/>
  </mergeCells>
  <printOptions horizontalCentered="1" verticalCentered="1"/>
  <pageMargins left="0.7" right="0.7" top="0.75" bottom="0.75" header="0.3" footer="0.3"/>
  <pageSetup paperSize="9" scale="21" fitToHeight="2" orientation="portrait" r:id="rId1"/>
  <headerFooter alignWithMargins="0">
    <oddFooter>&amp;LNQCL/ADDO/014&amp;C&amp;P of &amp;N&amp;R&amp;D &amp;T</oddFooter>
  </headerFooter>
  <rowBreaks count="1" manualBreakCount="1">
    <brk id="144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view="pageBreakPreview" topLeftCell="B1" zoomScale="60" zoomScaleNormal="75" zoomScalePageLayoutView="55" workbookViewId="0">
      <selection activeCell="B20" sqref="B20:C20"/>
    </sheetView>
  </sheetViews>
  <sheetFormatPr defaultRowHeight="13.5" x14ac:dyDescent="0.25"/>
  <cols>
    <col min="1" max="1" width="55.42578125" style="336" customWidth="1"/>
    <col min="2" max="2" width="33.7109375" style="336" customWidth="1"/>
    <col min="3" max="3" width="42.28515625" style="336" customWidth="1"/>
    <col min="4" max="4" width="30.5703125" style="336" customWidth="1"/>
    <col min="5" max="5" width="39.85546875" style="336" customWidth="1"/>
    <col min="6" max="6" width="30.7109375" style="336" customWidth="1"/>
    <col min="7" max="7" width="39.85546875" style="336" customWidth="1"/>
    <col min="8" max="8" width="41.140625" style="336" customWidth="1"/>
    <col min="9" max="9" width="30.42578125" style="336" customWidth="1"/>
    <col min="10" max="10" width="21.28515625" style="336" customWidth="1"/>
    <col min="11" max="11" width="9.140625" style="336" customWidth="1"/>
    <col min="12" max="16384" width="9.140625" style="5"/>
  </cols>
  <sheetData>
    <row r="1" spans="1:8" x14ac:dyDescent="0.25">
      <c r="A1" s="484" t="s">
        <v>44</v>
      </c>
      <c r="B1" s="484"/>
      <c r="C1" s="484"/>
      <c r="D1" s="484"/>
      <c r="E1" s="484"/>
      <c r="F1" s="484"/>
      <c r="G1" s="484"/>
      <c r="H1" s="484"/>
    </row>
    <row r="2" spans="1:8" x14ac:dyDescent="0.25">
      <c r="A2" s="484"/>
      <c r="B2" s="484"/>
      <c r="C2" s="484"/>
      <c r="D2" s="484"/>
      <c r="E2" s="484"/>
      <c r="F2" s="484"/>
      <c r="G2" s="484"/>
      <c r="H2" s="484"/>
    </row>
    <row r="3" spans="1:8" x14ac:dyDescent="0.25">
      <c r="A3" s="484"/>
      <c r="B3" s="484"/>
      <c r="C3" s="484"/>
      <c r="D3" s="484"/>
      <c r="E3" s="484"/>
      <c r="F3" s="484"/>
      <c r="G3" s="484"/>
      <c r="H3" s="484"/>
    </row>
    <row r="4" spans="1:8" x14ac:dyDescent="0.25">
      <c r="A4" s="484"/>
      <c r="B4" s="484"/>
      <c r="C4" s="484"/>
      <c r="D4" s="484"/>
      <c r="E4" s="484"/>
      <c r="F4" s="484"/>
      <c r="G4" s="484"/>
      <c r="H4" s="484"/>
    </row>
    <row r="5" spans="1:8" x14ac:dyDescent="0.25">
      <c r="A5" s="484"/>
      <c r="B5" s="484"/>
      <c r="C5" s="484"/>
      <c r="D5" s="484"/>
      <c r="E5" s="484"/>
      <c r="F5" s="484"/>
      <c r="G5" s="484"/>
      <c r="H5" s="484"/>
    </row>
    <row r="6" spans="1:8" x14ac:dyDescent="0.25">
      <c r="A6" s="484"/>
      <c r="B6" s="484"/>
      <c r="C6" s="484"/>
      <c r="D6" s="484"/>
      <c r="E6" s="484"/>
      <c r="F6" s="484"/>
      <c r="G6" s="484"/>
      <c r="H6" s="484"/>
    </row>
    <row r="7" spans="1:8" x14ac:dyDescent="0.25">
      <c r="A7" s="484"/>
      <c r="B7" s="484"/>
      <c r="C7" s="484"/>
      <c r="D7" s="484"/>
      <c r="E7" s="484"/>
      <c r="F7" s="484"/>
      <c r="G7" s="484"/>
      <c r="H7" s="484"/>
    </row>
    <row r="8" spans="1:8" x14ac:dyDescent="0.25">
      <c r="A8" s="485" t="s">
        <v>45</v>
      </c>
      <c r="B8" s="485"/>
      <c r="C8" s="485"/>
      <c r="D8" s="485"/>
      <c r="E8" s="485"/>
      <c r="F8" s="485"/>
      <c r="G8" s="485"/>
      <c r="H8" s="485"/>
    </row>
    <row r="9" spans="1:8" x14ac:dyDescent="0.25">
      <c r="A9" s="485"/>
      <c r="B9" s="485"/>
      <c r="C9" s="485"/>
      <c r="D9" s="485"/>
      <c r="E9" s="485"/>
      <c r="F9" s="485"/>
      <c r="G9" s="485"/>
      <c r="H9" s="485"/>
    </row>
    <row r="10" spans="1:8" x14ac:dyDescent="0.25">
      <c r="A10" s="485"/>
      <c r="B10" s="485"/>
      <c r="C10" s="485"/>
      <c r="D10" s="485"/>
      <c r="E10" s="485"/>
      <c r="F10" s="485"/>
      <c r="G10" s="485"/>
      <c r="H10" s="485"/>
    </row>
    <row r="11" spans="1:8" x14ac:dyDescent="0.25">
      <c r="A11" s="485"/>
      <c r="B11" s="485"/>
      <c r="C11" s="485"/>
      <c r="D11" s="485"/>
      <c r="E11" s="485"/>
      <c r="F11" s="485"/>
      <c r="G11" s="485"/>
      <c r="H11" s="485"/>
    </row>
    <row r="12" spans="1:8" x14ac:dyDescent="0.25">
      <c r="A12" s="485"/>
      <c r="B12" s="485"/>
      <c r="C12" s="485"/>
      <c r="D12" s="485"/>
      <c r="E12" s="485"/>
      <c r="F12" s="485"/>
      <c r="G12" s="485"/>
      <c r="H12" s="485"/>
    </row>
    <row r="13" spans="1:8" x14ac:dyDescent="0.25">
      <c r="A13" s="485"/>
      <c r="B13" s="485"/>
      <c r="C13" s="485"/>
      <c r="D13" s="485"/>
      <c r="E13" s="485"/>
      <c r="F13" s="485"/>
      <c r="G13" s="485"/>
      <c r="H13" s="485"/>
    </row>
    <row r="14" spans="1:8" x14ac:dyDescent="0.25">
      <c r="A14" s="485"/>
      <c r="B14" s="485"/>
      <c r="C14" s="485"/>
      <c r="D14" s="485"/>
      <c r="E14" s="485"/>
      <c r="F14" s="485"/>
      <c r="G14" s="485"/>
      <c r="H14" s="485"/>
    </row>
    <row r="15" spans="1:8" ht="19.5" customHeight="1" thickBot="1" x14ac:dyDescent="0.3"/>
    <row r="16" spans="1:8" ht="19.5" customHeight="1" thickBot="1" x14ac:dyDescent="0.3">
      <c r="A16" s="486" t="s">
        <v>30</v>
      </c>
      <c r="B16" s="487"/>
      <c r="C16" s="487"/>
      <c r="D16" s="487"/>
      <c r="E16" s="487"/>
      <c r="F16" s="487"/>
      <c r="G16" s="487"/>
      <c r="H16" s="488"/>
    </row>
    <row r="17" spans="1:13" ht="18.75" x14ac:dyDescent="0.3">
      <c r="A17" s="225" t="s">
        <v>46</v>
      </c>
      <c r="B17" s="225"/>
    </row>
    <row r="18" spans="1:13" ht="26.25" x14ac:dyDescent="0.4">
      <c r="A18" s="227" t="s">
        <v>32</v>
      </c>
      <c r="B18" s="493" t="s">
        <v>5</v>
      </c>
      <c r="C18" s="493"/>
      <c r="D18" s="211"/>
      <c r="E18" s="55"/>
      <c r="F18" s="224"/>
      <c r="G18" s="224"/>
      <c r="H18" s="224"/>
    </row>
    <row r="19" spans="1:13" ht="26.25" x14ac:dyDescent="0.4">
      <c r="A19" s="227" t="s">
        <v>33</v>
      </c>
      <c r="B19" s="398" t="s">
        <v>7</v>
      </c>
      <c r="C19" s="224">
        <v>1</v>
      </c>
      <c r="D19" s="224"/>
      <c r="E19" s="224"/>
      <c r="F19" s="224"/>
      <c r="G19" s="224"/>
      <c r="H19" s="224"/>
    </row>
    <row r="20" spans="1:13" ht="26.25" x14ac:dyDescent="0.4">
      <c r="A20" s="227" t="s">
        <v>34</v>
      </c>
      <c r="B20" s="494" t="s">
        <v>9</v>
      </c>
      <c r="C20" s="494"/>
      <c r="D20" s="224"/>
      <c r="E20" s="224"/>
      <c r="F20" s="224"/>
      <c r="G20" s="224"/>
      <c r="H20" s="224"/>
    </row>
    <row r="21" spans="1:13" ht="26.25" x14ac:dyDescent="0.4">
      <c r="A21" s="227" t="s">
        <v>35</v>
      </c>
      <c r="B21" s="494" t="s">
        <v>11</v>
      </c>
      <c r="C21" s="494"/>
      <c r="D21" s="494"/>
      <c r="E21" s="494"/>
      <c r="F21" s="494"/>
      <c r="G21" s="494"/>
      <c r="H21" s="494"/>
    </row>
    <row r="22" spans="1:13" ht="26.25" x14ac:dyDescent="0.4">
      <c r="A22" s="227" t="s">
        <v>36</v>
      </c>
      <c r="B22" s="59" t="s">
        <v>139</v>
      </c>
    </row>
    <row r="23" spans="1:13" ht="26.25" x14ac:dyDescent="0.4">
      <c r="A23" s="227" t="s">
        <v>37</v>
      </c>
      <c r="B23" s="59" t="s">
        <v>140</v>
      </c>
    </row>
    <row r="24" spans="1:13" ht="18.75" x14ac:dyDescent="0.3">
      <c r="A24" s="227"/>
      <c r="B24" s="230"/>
    </row>
    <row r="25" spans="1:13" ht="18.75" x14ac:dyDescent="0.3">
      <c r="A25" s="231" t="s">
        <v>1</v>
      </c>
      <c r="B25" s="230"/>
    </row>
    <row r="26" spans="1:13" ht="26.25" customHeight="1" x14ac:dyDescent="0.4">
      <c r="A26" s="329" t="s">
        <v>4</v>
      </c>
      <c r="B26" s="492" t="s">
        <v>135</v>
      </c>
      <c r="C26" s="492"/>
    </row>
    <row r="27" spans="1:13" ht="26.25" customHeight="1" x14ac:dyDescent="0.4">
      <c r="A27" s="363" t="s">
        <v>47</v>
      </c>
      <c r="B27" s="367" t="s">
        <v>124</v>
      </c>
    </row>
    <row r="28" spans="1:13" ht="27" customHeight="1" thickBot="1" x14ac:dyDescent="0.45">
      <c r="A28" s="363" t="s">
        <v>6</v>
      </c>
      <c r="B28" s="367">
        <v>99.8</v>
      </c>
    </row>
    <row r="29" spans="1:13" s="29" customFormat="1" ht="27" customHeight="1" thickBot="1" x14ac:dyDescent="0.45">
      <c r="A29" s="363" t="s">
        <v>48</v>
      </c>
      <c r="B29" s="367">
        <v>0</v>
      </c>
      <c r="C29" s="503" t="s">
        <v>49</v>
      </c>
      <c r="D29" s="504"/>
      <c r="E29" s="504"/>
      <c r="F29" s="504"/>
      <c r="G29" s="505"/>
      <c r="I29" s="236"/>
      <c r="J29" s="236"/>
      <c r="K29" s="236"/>
    </row>
    <row r="30" spans="1:13" s="29" customFormat="1" ht="19.5" customHeight="1" thickBot="1" x14ac:dyDescent="0.35">
      <c r="A30" s="363" t="s">
        <v>50</v>
      </c>
      <c r="B30" s="395">
        <f>B28-B29</f>
        <v>99.8</v>
      </c>
      <c r="C30" s="237"/>
      <c r="D30" s="237"/>
      <c r="E30" s="237"/>
      <c r="F30" s="237"/>
      <c r="G30" s="238"/>
      <c r="I30" s="236"/>
      <c r="J30" s="236"/>
      <c r="K30" s="236"/>
    </row>
    <row r="31" spans="1:13" s="29" customFormat="1" ht="27" customHeight="1" thickBot="1" x14ac:dyDescent="0.45">
      <c r="A31" s="363" t="s">
        <v>51</v>
      </c>
      <c r="B31" s="368">
        <v>1</v>
      </c>
      <c r="C31" s="489" t="s">
        <v>52</v>
      </c>
      <c r="D31" s="490"/>
      <c r="E31" s="490"/>
      <c r="F31" s="490"/>
      <c r="G31" s="490"/>
      <c r="H31" s="491"/>
      <c r="I31" s="236"/>
      <c r="J31" s="236"/>
      <c r="K31" s="236"/>
    </row>
    <row r="32" spans="1:13" s="29" customFormat="1" ht="27" customHeight="1" thickBot="1" x14ac:dyDescent="0.45">
      <c r="A32" s="363" t="s">
        <v>53</v>
      </c>
      <c r="B32" s="368">
        <v>1</v>
      </c>
      <c r="C32" s="489" t="s">
        <v>54</v>
      </c>
      <c r="D32" s="490"/>
      <c r="E32" s="490"/>
      <c r="F32" s="490"/>
      <c r="G32" s="490"/>
      <c r="H32" s="491"/>
      <c r="I32" s="236"/>
      <c r="J32" s="236"/>
      <c r="K32" s="240"/>
      <c r="L32" s="240"/>
      <c r="M32" s="241"/>
    </row>
    <row r="33" spans="1:13" s="29" customFormat="1" ht="17.25" customHeight="1" x14ac:dyDescent="0.3">
      <c r="A33" s="363"/>
      <c r="B33" s="239"/>
      <c r="C33" s="242"/>
      <c r="D33" s="242"/>
      <c r="E33" s="242"/>
      <c r="F33" s="242"/>
      <c r="G33" s="242"/>
      <c r="H33" s="242"/>
      <c r="I33" s="236"/>
      <c r="J33" s="236"/>
      <c r="K33" s="240"/>
      <c r="L33" s="240"/>
      <c r="M33" s="241"/>
    </row>
    <row r="34" spans="1:13" s="29" customFormat="1" ht="18.75" x14ac:dyDescent="0.3">
      <c r="A34" s="363" t="s">
        <v>55</v>
      </c>
      <c r="B34" s="243">
        <f>B31/B32</f>
        <v>1</v>
      </c>
      <c r="C34" s="364" t="s">
        <v>56</v>
      </c>
      <c r="D34" s="364"/>
      <c r="E34" s="364"/>
      <c r="F34" s="364"/>
      <c r="G34" s="364"/>
      <c r="I34" s="236"/>
      <c r="J34" s="236"/>
      <c r="K34" s="240"/>
      <c r="L34" s="240"/>
      <c r="M34" s="241"/>
    </row>
    <row r="35" spans="1:13" s="29" customFormat="1" ht="19.5" customHeight="1" thickBot="1" x14ac:dyDescent="0.35">
      <c r="A35" s="363"/>
      <c r="B35" s="395"/>
      <c r="G35" s="364"/>
      <c r="I35" s="236"/>
      <c r="J35" s="236"/>
      <c r="K35" s="240"/>
      <c r="L35" s="240"/>
      <c r="M35" s="241"/>
    </row>
    <row r="36" spans="1:13" s="29" customFormat="1" ht="27" customHeight="1" thickBot="1" x14ac:dyDescent="0.45">
      <c r="A36" s="244" t="s">
        <v>125</v>
      </c>
      <c r="B36" s="369">
        <v>100</v>
      </c>
      <c r="C36" s="364"/>
      <c r="D36" s="495" t="s">
        <v>58</v>
      </c>
      <c r="E36" s="519"/>
      <c r="F36" s="495" t="s">
        <v>59</v>
      </c>
      <c r="G36" s="496"/>
      <c r="I36" s="236"/>
      <c r="J36" s="236"/>
      <c r="K36" s="240"/>
      <c r="L36" s="240"/>
      <c r="M36" s="241"/>
    </row>
    <row r="37" spans="1:13" s="29" customFormat="1" ht="26.25" customHeight="1" x14ac:dyDescent="0.4">
      <c r="A37" s="245" t="s">
        <v>60</v>
      </c>
      <c r="B37" s="370">
        <v>1</v>
      </c>
      <c r="C37" s="247" t="s">
        <v>126</v>
      </c>
      <c r="D37" s="248" t="s">
        <v>62</v>
      </c>
      <c r="E37" s="304" t="s">
        <v>63</v>
      </c>
      <c r="F37" s="248" t="s">
        <v>62</v>
      </c>
      <c r="G37" s="249" t="s">
        <v>63</v>
      </c>
      <c r="I37" s="236"/>
      <c r="J37" s="236"/>
      <c r="K37" s="240"/>
      <c r="L37" s="240"/>
      <c r="M37" s="241"/>
    </row>
    <row r="38" spans="1:13" s="29" customFormat="1" ht="26.25" customHeight="1" x14ac:dyDescent="0.4">
      <c r="A38" s="245" t="s">
        <v>65</v>
      </c>
      <c r="B38" s="370">
        <v>1</v>
      </c>
      <c r="C38" s="250">
        <v>1</v>
      </c>
      <c r="D38" s="399">
        <v>2445795</v>
      </c>
      <c r="E38" s="317">
        <f>IF(ISBLANK(D38),"-",$D$48/$D$45*D38)</f>
        <v>2246284.5030115223</v>
      </c>
      <c r="F38" s="371">
        <v>2363403</v>
      </c>
      <c r="G38" s="320">
        <f>IF(ISBLANK(F38),"-",$D$48/$F$45*F38)</f>
        <v>2247877.8154315273</v>
      </c>
      <c r="I38" s="236"/>
      <c r="J38" s="236"/>
      <c r="K38" s="240"/>
      <c r="L38" s="240"/>
      <c r="M38" s="241"/>
    </row>
    <row r="39" spans="1:13" s="29" customFormat="1" ht="26.25" customHeight="1" x14ac:dyDescent="0.4">
      <c r="A39" s="245" t="s">
        <v>66</v>
      </c>
      <c r="B39" s="370">
        <v>1</v>
      </c>
      <c r="C39" s="246">
        <v>2</v>
      </c>
      <c r="D39" s="399">
        <v>2453895</v>
      </c>
      <c r="E39" s="318">
        <f>IF(ISBLANK(D39),"-",$D$48/$D$45*D39)</f>
        <v>2253723.7628327231</v>
      </c>
      <c r="F39" s="371">
        <v>2367855</v>
      </c>
      <c r="G39" s="321">
        <f>IF(ISBLANK(F39),"-",$D$48/$F$45*F39)</f>
        <v>2252112.1978175617</v>
      </c>
      <c r="I39" s="236"/>
      <c r="J39" s="236"/>
      <c r="K39" s="240"/>
      <c r="L39" s="240"/>
      <c r="M39" s="241"/>
    </row>
    <row r="40" spans="1:13" ht="26.25" customHeight="1" x14ac:dyDescent="0.4">
      <c r="A40" s="245" t="s">
        <v>67</v>
      </c>
      <c r="B40" s="370">
        <v>1</v>
      </c>
      <c r="C40" s="246">
        <v>3</v>
      </c>
      <c r="D40" s="399">
        <v>2446125</v>
      </c>
      <c r="E40" s="318">
        <f>IF(ISBLANK(D40),"-",$D$48/$D$45*D40)</f>
        <v>2246587.5839672009</v>
      </c>
      <c r="F40" s="371">
        <v>2364427</v>
      </c>
      <c r="G40" s="321">
        <f>IF(ISBLANK(F40),"-",$D$48/$F$45*F40)</f>
        <v>2248851.7614250807</v>
      </c>
      <c r="K40" s="240"/>
      <c r="L40" s="240"/>
      <c r="M40" s="364"/>
    </row>
    <row r="41" spans="1:13" ht="26.25" customHeight="1" x14ac:dyDescent="0.4">
      <c r="A41" s="245" t="s">
        <v>68</v>
      </c>
      <c r="B41" s="370">
        <v>1</v>
      </c>
      <c r="C41" s="253">
        <v>4</v>
      </c>
      <c r="D41" s="373">
        <v>2434205</v>
      </c>
      <c r="E41" s="319">
        <f>IF(ISBLANK(D41),"-",$D$48/$D$45*D41)</f>
        <v>2235639.9324772367</v>
      </c>
      <c r="F41" s="373">
        <v>2353511</v>
      </c>
      <c r="G41" s="322">
        <f>IF(ISBLANK(F41),"-",$D$48/$F$45*F41)</f>
        <v>2238469.3449547407</v>
      </c>
      <c r="K41" s="240"/>
      <c r="L41" s="240"/>
      <c r="M41" s="364"/>
    </row>
    <row r="42" spans="1:13" ht="27" customHeight="1" thickBot="1" x14ac:dyDescent="0.45">
      <c r="A42" s="245" t="s">
        <v>69</v>
      </c>
      <c r="B42" s="370">
        <v>1</v>
      </c>
      <c r="C42" s="255" t="s">
        <v>70</v>
      </c>
      <c r="D42" s="256">
        <f>AVERAGE(D38:D41)</f>
        <v>2445005</v>
      </c>
      <c r="E42" s="280">
        <f>AVERAGE(E38:E41)</f>
        <v>2245558.9455721704</v>
      </c>
      <c r="F42" s="256">
        <f>AVERAGE(F38:F41)</f>
        <v>2362299</v>
      </c>
      <c r="G42" s="257">
        <f>AVERAGE(G38:G41)</f>
        <v>2246827.7799072275</v>
      </c>
      <c r="H42" s="337"/>
    </row>
    <row r="43" spans="1:13" ht="26.25" customHeight="1" x14ac:dyDescent="0.4">
      <c r="A43" s="245" t="s">
        <v>71</v>
      </c>
      <c r="B43" s="367">
        <v>1</v>
      </c>
      <c r="C43" s="350" t="s">
        <v>112</v>
      </c>
      <c r="D43" s="374">
        <v>21.82</v>
      </c>
      <c r="E43" s="364"/>
      <c r="F43" s="374">
        <v>21.07</v>
      </c>
      <c r="H43" s="337"/>
    </row>
    <row r="44" spans="1:13" ht="26.25" customHeight="1" x14ac:dyDescent="0.4">
      <c r="A44" s="245" t="s">
        <v>73</v>
      </c>
      <c r="B44" s="367">
        <v>1</v>
      </c>
      <c r="C44" s="351" t="s">
        <v>113</v>
      </c>
      <c r="D44" s="352">
        <f>D43*$B$34</f>
        <v>21.82</v>
      </c>
      <c r="E44" s="277"/>
      <c r="F44" s="258">
        <f>F43*$B$34</f>
        <v>21.07</v>
      </c>
      <c r="H44" s="337"/>
    </row>
    <row r="45" spans="1:13" ht="19.5" customHeight="1" thickBot="1" x14ac:dyDescent="0.35">
      <c r="A45" s="245" t="s">
        <v>75</v>
      </c>
      <c r="B45" s="395">
        <f>(B44/B43)*(B42/B41)*(B40/B39)*(B38/B37)*B36</f>
        <v>100</v>
      </c>
      <c r="C45" s="351" t="s">
        <v>76</v>
      </c>
      <c r="D45" s="359">
        <f>D44*$B$30/100</f>
        <v>21.77636</v>
      </c>
      <c r="E45" s="278"/>
      <c r="F45" s="260">
        <f>F44*$B$30/100</f>
        <v>21.02786</v>
      </c>
      <c r="H45" s="337"/>
    </row>
    <row r="46" spans="1:13" ht="19.5" customHeight="1" thickBot="1" x14ac:dyDescent="0.35">
      <c r="A46" s="497" t="s">
        <v>77</v>
      </c>
      <c r="B46" s="498"/>
      <c r="C46" s="351" t="s">
        <v>78</v>
      </c>
      <c r="D46" s="352">
        <f>D45/$B$45</f>
        <v>0.2177636</v>
      </c>
      <c r="E46" s="278"/>
      <c r="F46" s="262">
        <f>F45/$B$45</f>
        <v>0.21027860000000001</v>
      </c>
      <c r="H46" s="337"/>
    </row>
    <row r="47" spans="1:13" ht="27" customHeight="1" thickBot="1" x14ac:dyDescent="0.45">
      <c r="A47" s="499"/>
      <c r="B47" s="500"/>
      <c r="C47" s="351" t="s">
        <v>127</v>
      </c>
      <c r="D47" s="375">
        <v>0.2</v>
      </c>
      <c r="F47" s="264"/>
      <c r="H47" s="337"/>
    </row>
    <row r="48" spans="1:13" ht="18.75" x14ac:dyDescent="0.3">
      <c r="C48" s="351" t="s">
        <v>80</v>
      </c>
      <c r="D48" s="352">
        <f>D47*$B$45</f>
        <v>20</v>
      </c>
      <c r="F48" s="264"/>
      <c r="H48" s="337"/>
    </row>
    <row r="49" spans="1:11" ht="19.5" customHeight="1" thickBot="1" x14ac:dyDescent="0.35">
      <c r="C49" s="354" t="s">
        <v>81</v>
      </c>
      <c r="D49" s="360">
        <f>D48/B34</f>
        <v>20</v>
      </c>
      <c r="F49" s="267"/>
      <c r="H49" s="337"/>
    </row>
    <row r="50" spans="1:11" ht="18.75" x14ac:dyDescent="0.3">
      <c r="C50" s="356" t="s">
        <v>82</v>
      </c>
      <c r="D50" s="357">
        <f>AVERAGE(E38:E41,G38:G41)</f>
        <v>2246193.362739699</v>
      </c>
      <c r="F50" s="267"/>
      <c r="H50" s="337"/>
    </row>
    <row r="51" spans="1:11" ht="18.75" x14ac:dyDescent="0.3">
      <c r="C51" s="263" t="s">
        <v>83</v>
      </c>
      <c r="D51" s="268">
        <f>STDEV(E38:E41,G38:G41)/D50</f>
        <v>2.7794591369649192E-3</v>
      </c>
      <c r="F51" s="267"/>
    </row>
    <row r="52" spans="1:11" ht="19.5" customHeight="1" thickBot="1" x14ac:dyDescent="0.35">
      <c r="C52" s="265" t="s">
        <v>19</v>
      </c>
      <c r="D52" s="269">
        <f>COUNT(E38:E41,G38:G41)</f>
        <v>8</v>
      </c>
      <c r="F52" s="267"/>
    </row>
    <row r="54" spans="1:11" ht="18.75" x14ac:dyDescent="0.3">
      <c r="A54" s="225" t="s">
        <v>1</v>
      </c>
      <c r="B54" s="270" t="s">
        <v>84</v>
      </c>
    </row>
    <row r="55" spans="1:11" ht="18.75" x14ac:dyDescent="0.3">
      <c r="A55" s="364" t="s">
        <v>85</v>
      </c>
      <c r="B55" s="229" t="str">
        <f>B21</f>
        <v>Artemether 80 mg + Lumefantrine 480 mg per tablet</v>
      </c>
    </row>
    <row r="56" spans="1:11" ht="26.25" customHeight="1" x14ac:dyDescent="0.4">
      <c r="A56" s="229" t="s">
        <v>86</v>
      </c>
      <c r="B56" s="367">
        <v>80</v>
      </c>
      <c r="C56" s="364" t="str">
        <f>B26</f>
        <v>ARTEMETHER</v>
      </c>
      <c r="H56" s="277"/>
    </row>
    <row r="57" spans="1:11" ht="18.75" x14ac:dyDescent="0.3">
      <c r="A57" s="229" t="s">
        <v>87</v>
      </c>
      <c r="B57" s="391">
        <f>Uniformity!C46</f>
        <v>698.87450000000013</v>
      </c>
      <c r="H57" s="277"/>
    </row>
    <row r="58" spans="1:11" ht="19.5" customHeight="1" thickBot="1" x14ac:dyDescent="0.35">
      <c r="H58" s="277"/>
    </row>
    <row r="59" spans="1:11" s="29" customFormat="1" ht="27" customHeight="1" thickBot="1" x14ac:dyDescent="0.45">
      <c r="A59" s="244" t="s">
        <v>128</v>
      </c>
      <c r="B59" s="369">
        <v>100</v>
      </c>
      <c r="C59" s="364"/>
      <c r="D59" s="272" t="s">
        <v>89</v>
      </c>
      <c r="E59" s="271" t="s">
        <v>61</v>
      </c>
      <c r="F59" s="271" t="s">
        <v>62</v>
      </c>
      <c r="G59" s="271" t="s">
        <v>90</v>
      </c>
      <c r="H59" s="247" t="s">
        <v>91</v>
      </c>
      <c r="K59" s="236"/>
    </row>
    <row r="60" spans="1:11" s="29" customFormat="1" ht="22.5" customHeight="1" x14ac:dyDescent="0.4">
      <c r="A60" s="245" t="s">
        <v>121</v>
      </c>
      <c r="B60" s="370">
        <v>1</v>
      </c>
      <c r="C60" s="512" t="s">
        <v>93</v>
      </c>
      <c r="D60" s="516">
        <v>179.96</v>
      </c>
      <c r="E60" s="273">
        <v>1</v>
      </c>
      <c r="F60" s="377">
        <v>2280769</v>
      </c>
      <c r="G60" s="308">
        <f>IF(ISBLANK(F60),"-",(F60/$D$50*$D$47*$B$68)*($B$57/$D$60))</f>
        <v>78.865555660762553</v>
      </c>
      <c r="H60" s="310">
        <f t="shared" ref="H60:H71" si="0">IF(ISBLANK(F60),"-",G60/$B$56)</f>
        <v>0.98581944575953195</v>
      </c>
      <c r="K60" s="236"/>
    </row>
    <row r="61" spans="1:11" s="29" customFormat="1" ht="26.25" customHeight="1" x14ac:dyDescent="0.4">
      <c r="A61" s="245" t="s">
        <v>94</v>
      </c>
      <c r="B61" s="370">
        <v>1</v>
      </c>
      <c r="C61" s="513"/>
      <c r="D61" s="517"/>
      <c r="E61" s="274">
        <v>2</v>
      </c>
      <c r="F61" s="372">
        <v>2284014</v>
      </c>
      <c r="G61" s="309">
        <f>IF(ISBLANK(F61),"-",(F61/$D$50*$D$47*$B$68)*($B$57/$D$60))</f>
        <v>78.977762871628357</v>
      </c>
      <c r="H61" s="311">
        <f t="shared" si="0"/>
        <v>0.98722203589535451</v>
      </c>
      <c r="K61" s="236"/>
    </row>
    <row r="62" spans="1:11" s="29" customFormat="1" ht="26.25" customHeight="1" x14ac:dyDescent="0.4">
      <c r="A62" s="245" t="s">
        <v>95</v>
      </c>
      <c r="B62" s="370">
        <v>1</v>
      </c>
      <c r="C62" s="513"/>
      <c r="D62" s="517"/>
      <c r="E62" s="274">
        <v>3</v>
      </c>
      <c r="F62" s="137">
        <v>2263332</v>
      </c>
      <c r="G62" s="309">
        <f>IF(ISBLANK(F62),"-",(F62/$D$50*$D$47*$B$68)*($B$57/$D$60))</f>
        <v>78.262610472513899</v>
      </c>
      <c r="H62" s="311">
        <f t="shared" si="0"/>
        <v>0.97828263090642376</v>
      </c>
      <c r="K62" s="236"/>
    </row>
    <row r="63" spans="1:11" ht="21" customHeight="1" thickBot="1" x14ac:dyDescent="0.45">
      <c r="A63" s="245" t="s">
        <v>96</v>
      </c>
      <c r="B63" s="370">
        <v>1</v>
      </c>
      <c r="C63" s="514"/>
      <c r="D63" s="518"/>
      <c r="E63" s="275">
        <v>4</v>
      </c>
      <c r="F63" s="378"/>
      <c r="G63" s="309" t="str">
        <f>IF(ISBLANK(F63),"-",(F63/$D$50*$D$47*$B$68)*($B$57/$D$60))</f>
        <v>-</v>
      </c>
      <c r="H63" s="311" t="str">
        <f t="shared" si="0"/>
        <v>-</v>
      </c>
    </row>
    <row r="64" spans="1:11" ht="26.25" customHeight="1" x14ac:dyDescent="0.4">
      <c r="A64" s="245" t="s">
        <v>97</v>
      </c>
      <c r="B64" s="370">
        <v>1</v>
      </c>
      <c r="C64" s="512" t="s">
        <v>98</v>
      </c>
      <c r="D64" s="516">
        <v>173.5</v>
      </c>
      <c r="E64" s="273">
        <v>1</v>
      </c>
      <c r="F64" s="377">
        <v>2202555</v>
      </c>
      <c r="G64" s="333">
        <f>IF(ISBLANK(F64),"-",(F64/$D$50*$D$47*$B$68)*($B$57/$D$64))</f>
        <v>78.996769842319907</v>
      </c>
      <c r="H64" s="330">
        <f t="shared" si="0"/>
        <v>0.98745962302899881</v>
      </c>
    </row>
    <row r="65" spans="1:8" ht="26.25" customHeight="1" x14ac:dyDescent="0.4">
      <c r="A65" s="245" t="s">
        <v>99</v>
      </c>
      <c r="B65" s="370">
        <v>1</v>
      </c>
      <c r="C65" s="513"/>
      <c r="D65" s="517"/>
      <c r="E65" s="274">
        <v>2</v>
      </c>
      <c r="F65" s="372">
        <v>2198875</v>
      </c>
      <c r="G65" s="334">
        <f>IF(ISBLANK(F65),"-",(F65/$D$50*$D$47*$B$68)*($B$57/$D$64))</f>
        <v>78.864783075578657</v>
      </c>
      <c r="H65" s="331">
        <f t="shared" si="0"/>
        <v>0.98580978844473321</v>
      </c>
    </row>
    <row r="66" spans="1:8" ht="26.25" customHeight="1" x14ac:dyDescent="0.4">
      <c r="A66" s="245" t="s">
        <v>100</v>
      </c>
      <c r="B66" s="370">
        <v>1</v>
      </c>
      <c r="C66" s="513"/>
      <c r="D66" s="517"/>
      <c r="E66" s="274">
        <v>3</v>
      </c>
      <c r="F66" s="372">
        <v>2199768</v>
      </c>
      <c r="G66" s="334">
        <f>IF(ISBLANK(F66),"-",(F66/$D$50*$D$47*$B$68)*($B$57/$D$64))</f>
        <v>78.896811386094953</v>
      </c>
      <c r="H66" s="331">
        <f t="shared" si="0"/>
        <v>0.98621014232618687</v>
      </c>
    </row>
    <row r="67" spans="1:8" ht="21" customHeight="1" thickBot="1" x14ac:dyDescent="0.45">
      <c r="A67" s="245" t="s">
        <v>101</v>
      </c>
      <c r="B67" s="370">
        <v>1</v>
      </c>
      <c r="C67" s="514"/>
      <c r="D67" s="518"/>
      <c r="E67" s="275">
        <v>4</v>
      </c>
      <c r="F67" s="378"/>
      <c r="G67" s="335" t="str">
        <f>IF(ISBLANK(F67),"-",(F67/$D$50*$D$47*$B$68)*($B$57/$D$64))</f>
        <v>-</v>
      </c>
      <c r="H67" s="332" t="str">
        <f t="shared" si="0"/>
        <v>-</v>
      </c>
    </row>
    <row r="68" spans="1:8" ht="21.75" customHeight="1" x14ac:dyDescent="0.4">
      <c r="A68" s="245" t="s">
        <v>102</v>
      </c>
      <c r="B68" s="341">
        <f>(B67/B66)*(B65/B64)*(B63/B62)*(B61/B60)*B59</f>
        <v>100</v>
      </c>
      <c r="C68" s="512" t="s">
        <v>103</v>
      </c>
      <c r="D68" s="516">
        <v>176.28</v>
      </c>
      <c r="E68" s="273">
        <v>1</v>
      </c>
      <c r="F68" s="377">
        <v>2247631</v>
      </c>
      <c r="G68" s="333">
        <f>IF(ISBLANK(F68),"-",(F68/$D$50*$D$47*$B$68)*($B$57/$D$68))</f>
        <v>79.342160489122477</v>
      </c>
      <c r="H68" s="311">
        <f t="shared" si="0"/>
        <v>0.99177700611403097</v>
      </c>
    </row>
    <row r="69" spans="1:8" ht="21.75" customHeight="1" thickBot="1" x14ac:dyDescent="0.45">
      <c r="A69" s="358" t="s">
        <v>104</v>
      </c>
      <c r="B69" s="376">
        <f>D47*B68/B56*B57</f>
        <v>174.71862500000003</v>
      </c>
      <c r="C69" s="513"/>
      <c r="D69" s="517"/>
      <c r="E69" s="274">
        <v>2</v>
      </c>
      <c r="F69" s="372">
        <v>2253725</v>
      </c>
      <c r="G69" s="334">
        <f>IF(ISBLANK(F69),"-",(F69/$D$50*$D$47*$B$68)*($B$57/$D$68))</f>
        <v>79.557280820716358</v>
      </c>
      <c r="H69" s="311">
        <f t="shared" si="0"/>
        <v>0.99446601025895442</v>
      </c>
    </row>
    <row r="70" spans="1:8" ht="22.5" customHeight="1" x14ac:dyDescent="0.4">
      <c r="A70" s="506" t="s">
        <v>77</v>
      </c>
      <c r="B70" s="507"/>
      <c r="C70" s="513"/>
      <c r="D70" s="517"/>
      <c r="E70" s="274">
        <v>3</v>
      </c>
      <c r="F70" s="372">
        <v>2252794</v>
      </c>
      <c r="G70" s="334">
        <f>IF(ISBLANK(F70),"-",(F70/$D$50*$D$47*$B$68)*($B$57/$D$68))</f>
        <v>79.524416195065925</v>
      </c>
      <c r="H70" s="311">
        <f t="shared" si="0"/>
        <v>0.99405520243832401</v>
      </c>
    </row>
    <row r="71" spans="1:8" ht="21.75" customHeight="1" thickBot="1" x14ac:dyDescent="0.45">
      <c r="A71" s="508"/>
      <c r="B71" s="509"/>
      <c r="C71" s="515"/>
      <c r="D71" s="518"/>
      <c r="E71" s="275">
        <v>4</v>
      </c>
      <c r="F71" s="378"/>
      <c r="G71" s="335" t="str">
        <f>IF(ISBLANK(F71),"-",(F71/$D$50*$D$47*$B$68)*($B$57/$D$68))</f>
        <v>-</v>
      </c>
      <c r="H71" s="312" t="str">
        <f t="shared" si="0"/>
        <v>-</v>
      </c>
    </row>
    <row r="72" spans="1:8" ht="26.25" customHeight="1" x14ac:dyDescent="0.4">
      <c r="A72" s="277"/>
      <c r="B72" s="277"/>
      <c r="C72" s="277"/>
      <c r="D72" s="277"/>
      <c r="E72" s="277"/>
      <c r="F72" s="277"/>
      <c r="G72" s="266" t="s">
        <v>70</v>
      </c>
      <c r="H72" s="379">
        <f>AVERAGE(H60:H71)</f>
        <v>0.98790020946361545</v>
      </c>
    </row>
    <row r="73" spans="1:8" ht="26.25" customHeight="1" x14ac:dyDescent="0.4">
      <c r="C73" s="277"/>
      <c r="D73" s="277"/>
      <c r="E73" s="277"/>
      <c r="F73" s="277"/>
      <c r="G73" s="263" t="s">
        <v>83</v>
      </c>
      <c r="H73" s="380">
        <f>STDEV(H60:H71)/H72</f>
        <v>5.0704790098176807E-3</v>
      </c>
    </row>
    <row r="74" spans="1:8" ht="27" customHeight="1" thickBot="1" x14ac:dyDescent="0.45">
      <c r="A74" s="277"/>
      <c r="B74" s="277"/>
      <c r="C74" s="277"/>
      <c r="D74" s="277"/>
      <c r="E74" s="278"/>
      <c r="F74" s="277"/>
      <c r="G74" s="265" t="s">
        <v>19</v>
      </c>
      <c r="H74" s="381">
        <f>COUNT(H60:H71)</f>
        <v>9</v>
      </c>
    </row>
    <row r="75" spans="1:8" ht="18.75" x14ac:dyDescent="0.3">
      <c r="A75" s="277"/>
      <c r="B75" s="277"/>
      <c r="C75" s="277"/>
      <c r="D75" s="277"/>
      <c r="E75" s="278"/>
      <c r="F75" s="277"/>
      <c r="G75" s="363"/>
      <c r="H75" s="395"/>
    </row>
    <row r="76" spans="1:8" ht="18.75" x14ac:dyDescent="0.3">
      <c r="A76" s="329" t="s">
        <v>129</v>
      </c>
      <c r="B76" s="363" t="s">
        <v>122</v>
      </c>
      <c r="C76" s="510" t="str">
        <f>C56</f>
        <v>ARTEMETHER</v>
      </c>
      <c r="D76" s="510"/>
      <c r="E76" s="364" t="s">
        <v>107</v>
      </c>
      <c r="F76" s="364"/>
      <c r="G76" s="365">
        <f>H72</f>
        <v>0.98790020946361545</v>
      </c>
      <c r="H76" s="395"/>
    </row>
    <row r="77" spans="1:8" ht="18.75" x14ac:dyDescent="0.3">
      <c r="A77" s="329"/>
      <c r="B77" s="363"/>
      <c r="C77" s="395"/>
      <c r="D77" s="395"/>
      <c r="E77" s="364"/>
      <c r="F77" s="364"/>
      <c r="G77" s="365"/>
      <c r="H77" s="395"/>
    </row>
    <row r="78" spans="1:8" ht="18.75" x14ac:dyDescent="0.3">
      <c r="A78" s="329" t="s">
        <v>136</v>
      </c>
      <c r="B78" s="363"/>
      <c r="C78" s="395"/>
      <c r="D78" s="395"/>
      <c r="E78" s="364"/>
      <c r="F78" s="364"/>
      <c r="G78" s="365"/>
      <c r="H78" s="395"/>
    </row>
    <row r="79" spans="1:8" ht="18.75" x14ac:dyDescent="0.3">
      <c r="A79" s="277"/>
      <c r="B79" s="277"/>
      <c r="C79" s="277"/>
      <c r="D79" s="277"/>
      <c r="E79" s="278"/>
      <c r="F79" s="277"/>
      <c r="G79" s="363"/>
      <c r="H79" s="395"/>
    </row>
    <row r="80" spans="1:8" ht="26.25" customHeight="1" x14ac:dyDescent="0.4">
      <c r="A80" s="231" t="s">
        <v>130</v>
      </c>
      <c r="B80" s="231" t="s">
        <v>131</v>
      </c>
      <c r="D80" s="385" t="s">
        <v>132</v>
      </c>
    </row>
    <row r="81" spans="1:11" ht="18.75" x14ac:dyDescent="0.3">
      <c r="A81" s="231"/>
      <c r="B81" s="231"/>
    </row>
    <row r="82" spans="1:11" ht="26.25" customHeight="1" x14ac:dyDescent="0.4">
      <c r="A82" s="329" t="s">
        <v>4</v>
      </c>
      <c r="B82" s="492" t="str">
        <f>B26</f>
        <v>ARTEMETHER</v>
      </c>
      <c r="C82" s="492"/>
    </row>
    <row r="83" spans="1:11" ht="26.25" customHeight="1" x14ac:dyDescent="0.4">
      <c r="A83" s="363" t="s">
        <v>47</v>
      </c>
      <c r="B83" s="367" t="str">
        <f>B27</f>
        <v>F0J018</v>
      </c>
    </row>
    <row r="84" spans="1:11" ht="27" customHeight="1" thickBot="1" x14ac:dyDescent="0.45">
      <c r="A84" s="363" t="s">
        <v>6</v>
      </c>
      <c r="B84" s="367">
        <f>B28</f>
        <v>99.8</v>
      </c>
    </row>
    <row r="85" spans="1:11" s="29" customFormat="1" ht="27" customHeight="1" thickBot="1" x14ac:dyDescent="0.45">
      <c r="A85" s="363" t="s">
        <v>48</v>
      </c>
      <c r="B85" s="367">
        <f>B29</f>
        <v>0</v>
      </c>
      <c r="C85" s="503" t="s">
        <v>49</v>
      </c>
      <c r="D85" s="504"/>
      <c r="E85" s="504"/>
      <c r="F85" s="504"/>
      <c r="G85" s="505"/>
      <c r="I85" s="236"/>
      <c r="J85" s="236"/>
      <c r="K85" s="236"/>
    </row>
    <row r="86" spans="1:11" s="29" customFormat="1" ht="19.5" customHeight="1" thickBot="1" x14ac:dyDescent="0.35">
      <c r="A86" s="363" t="s">
        <v>50</v>
      </c>
      <c r="B86" s="395">
        <f>B84-B85</f>
        <v>99.8</v>
      </c>
      <c r="C86" s="237"/>
      <c r="D86" s="237"/>
      <c r="E86" s="237"/>
      <c r="F86" s="237"/>
      <c r="G86" s="238"/>
      <c r="I86" s="236"/>
      <c r="J86" s="236"/>
      <c r="K86" s="236"/>
    </row>
    <row r="87" spans="1:11" s="29" customFormat="1" ht="27" customHeight="1" thickBot="1" x14ac:dyDescent="0.45">
      <c r="A87" s="363" t="s">
        <v>51</v>
      </c>
      <c r="B87" s="368">
        <v>1</v>
      </c>
      <c r="C87" s="489" t="s">
        <v>52</v>
      </c>
      <c r="D87" s="490"/>
      <c r="E87" s="490"/>
      <c r="F87" s="490"/>
      <c r="G87" s="490"/>
      <c r="H87" s="491"/>
      <c r="I87" s="236"/>
      <c r="J87" s="236"/>
      <c r="K87" s="236"/>
    </row>
    <row r="88" spans="1:11" s="29" customFormat="1" ht="27" customHeight="1" thickBot="1" x14ac:dyDescent="0.45">
      <c r="A88" s="363" t="s">
        <v>53</v>
      </c>
      <c r="B88" s="368">
        <v>1</v>
      </c>
      <c r="C88" s="489" t="s">
        <v>54</v>
      </c>
      <c r="D88" s="490"/>
      <c r="E88" s="490"/>
      <c r="F88" s="490"/>
      <c r="G88" s="490"/>
      <c r="H88" s="491"/>
      <c r="I88" s="236"/>
      <c r="J88" s="236"/>
      <c r="K88" s="236"/>
    </row>
    <row r="89" spans="1:11" s="29" customFormat="1" ht="18.75" x14ac:dyDescent="0.3">
      <c r="A89" s="363"/>
      <c r="B89" s="395"/>
      <c r="C89" s="237"/>
      <c r="D89" s="237"/>
      <c r="E89" s="237"/>
      <c r="F89" s="237"/>
      <c r="G89" s="238"/>
      <c r="I89" s="236"/>
      <c r="J89" s="236"/>
      <c r="K89" s="236"/>
    </row>
    <row r="90" spans="1:11" s="29" customFormat="1" ht="18.75" x14ac:dyDescent="0.3">
      <c r="A90" s="363" t="s">
        <v>55</v>
      </c>
      <c r="B90" s="243">
        <f>B87/B88</f>
        <v>1</v>
      </c>
      <c r="C90" s="364" t="s">
        <v>56</v>
      </c>
      <c r="D90" s="237"/>
      <c r="E90" s="237"/>
      <c r="F90" s="237"/>
      <c r="G90" s="238"/>
      <c r="I90" s="236"/>
      <c r="J90" s="236"/>
      <c r="K90" s="236"/>
    </row>
    <row r="91" spans="1:11" ht="19.5" customHeight="1" thickBot="1" x14ac:dyDescent="0.35">
      <c r="A91" s="231"/>
      <c r="B91" s="231"/>
    </row>
    <row r="92" spans="1:11" ht="27" customHeight="1" thickBot="1" x14ac:dyDescent="0.45">
      <c r="A92" s="244" t="s">
        <v>125</v>
      </c>
      <c r="B92" s="369">
        <v>100</v>
      </c>
      <c r="D92" s="393" t="s">
        <v>58</v>
      </c>
      <c r="E92" s="397"/>
      <c r="F92" s="495" t="s">
        <v>59</v>
      </c>
      <c r="G92" s="496"/>
    </row>
    <row r="93" spans="1:11" ht="26.25" customHeight="1" x14ac:dyDescent="0.4">
      <c r="A93" s="245" t="s">
        <v>60</v>
      </c>
      <c r="B93" s="370">
        <v>5</v>
      </c>
      <c r="C93" s="396" t="s">
        <v>126</v>
      </c>
      <c r="D93" s="248" t="s">
        <v>62</v>
      </c>
      <c r="E93" s="304" t="s">
        <v>63</v>
      </c>
      <c r="F93" s="248" t="s">
        <v>62</v>
      </c>
      <c r="G93" s="249" t="s">
        <v>63</v>
      </c>
    </row>
    <row r="94" spans="1:11" ht="26.25" customHeight="1" x14ac:dyDescent="0.4">
      <c r="A94" s="245" t="s">
        <v>65</v>
      </c>
      <c r="B94" s="370">
        <v>50</v>
      </c>
      <c r="C94" s="302">
        <v>1</v>
      </c>
      <c r="D94" s="371">
        <v>972650</v>
      </c>
      <c r="E94" s="403">
        <f>IF(ISBLANK(D94),"-",$D$104/$D$101*D94)</f>
        <v>885999.27126981237</v>
      </c>
      <c r="F94" s="371">
        <v>939657</v>
      </c>
      <c r="G94" s="404">
        <f>IF(ISBLANK(F94),"-",$D$104/$F$101*F94)</f>
        <v>892032.28816704941</v>
      </c>
    </row>
    <row r="95" spans="1:11" ht="26.25" customHeight="1" x14ac:dyDescent="0.4">
      <c r="A95" s="245" t="s">
        <v>66</v>
      </c>
      <c r="B95" s="370">
        <v>1</v>
      </c>
      <c r="C95" s="277">
        <v>2</v>
      </c>
      <c r="D95" s="372">
        <v>976166</v>
      </c>
      <c r="E95" s="403">
        <f t="shared" ref="E95:E97" si="1">IF(ISBLANK(D95),"-",$D$104/$D$101*D95)</f>
        <v>889202.04044452542</v>
      </c>
      <c r="F95" s="372">
        <v>937045</v>
      </c>
      <c r="G95" s="404">
        <f t="shared" ref="G95:G97" si="2">IF(ISBLANK(F95),"-",$D$104/$F$101*F95)</f>
        <v>889552.67237459286</v>
      </c>
    </row>
    <row r="96" spans="1:11" ht="26.25" customHeight="1" x14ac:dyDescent="0.4">
      <c r="A96" s="245" t="s">
        <v>67</v>
      </c>
      <c r="B96" s="370">
        <v>1</v>
      </c>
      <c r="C96" s="277">
        <v>3</v>
      </c>
      <c r="D96" s="372">
        <v>973510</v>
      </c>
      <c r="E96" s="403">
        <f t="shared" si="1"/>
        <v>886782.65622153401</v>
      </c>
      <c r="F96" s="372">
        <v>941323</v>
      </c>
      <c r="G96" s="404">
        <f t="shared" si="2"/>
        <v>893613.85015412164</v>
      </c>
    </row>
    <row r="97" spans="1:9" ht="26.25" customHeight="1" x14ac:dyDescent="0.4">
      <c r="A97" s="245" t="s">
        <v>68</v>
      </c>
      <c r="B97" s="370">
        <v>1</v>
      </c>
      <c r="C97" s="305">
        <v>4</v>
      </c>
      <c r="D97" s="373"/>
      <c r="E97" s="403" t="str">
        <f t="shared" si="1"/>
        <v>-</v>
      </c>
      <c r="F97" s="382"/>
      <c r="G97" s="404" t="str">
        <f t="shared" si="2"/>
        <v>-</v>
      </c>
    </row>
    <row r="98" spans="1:9" ht="27" customHeight="1" thickBot="1" x14ac:dyDescent="0.45">
      <c r="A98" s="245" t="s">
        <v>69</v>
      </c>
      <c r="B98" s="370">
        <v>1</v>
      </c>
      <c r="C98" s="363" t="s">
        <v>70</v>
      </c>
      <c r="D98" s="408">
        <f>AVERAGE(D94:D97)</f>
        <v>974108.66666666663</v>
      </c>
      <c r="E98" s="409">
        <f>AVERAGE(E94:E97)</f>
        <v>887327.98931195727</v>
      </c>
      <c r="F98" s="410">
        <f>AVERAGE(F94:F97)</f>
        <v>939341.66666666663</v>
      </c>
      <c r="G98" s="411">
        <f>AVERAGE(G94:G97)</f>
        <v>891732.93689858785</v>
      </c>
    </row>
    <row r="99" spans="1:9" ht="26.25" customHeight="1" x14ac:dyDescent="0.4">
      <c r="A99" s="245" t="s">
        <v>71</v>
      </c>
      <c r="B99" s="367">
        <v>1</v>
      </c>
      <c r="C99" s="350" t="s">
        <v>112</v>
      </c>
      <c r="D99" s="466">
        <v>22</v>
      </c>
      <c r="E99" s="413"/>
      <c r="F99" s="414">
        <v>21.11</v>
      </c>
      <c r="G99" s="415"/>
    </row>
    <row r="100" spans="1:9" ht="26.25" customHeight="1" x14ac:dyDescent="0.4">
      <c r="A100" s="245" t="s">
        <v>73</v>
      </c>
      <c r="B100" s="367">
        <v>1</v>
      </c>
      <c r="C100" s="351" t="s">
        <v>113</v>
      </c>
      <c r="D100" s="352">
        <f>D99*B90</f>
        <v>22</v>
      </c>
      <c r="E100" s="277"/>
      <c r="F100" s="258">
        <f>F99*B90</f>
        <v>21.11</v>
      </c>
    </row>
    <row r="101" spans="1:9" ht="19.5" customHeight="1" thickBot="1" x14ac:dyDescent="0.35">
      <c r="A101" s="245" t="s">
        <v>75</v>
      </c>
      <c r="B101" s="395">
        <f>(B100/B99)*(B98/B97)*(B96/B95)*(B94/B93)*B92</f>
        <v>1000</v>
      </c>
      <c r="C101" s="351" t="s">
        <v>76</v>
      </c>
      <c r="D101" s="359">
        <f>D100*$B$86/100</f>
        <v>21.956</v>
      </c>
      <c r="E101" s="278"/>
      <c r="F101" s="260">
        <f>F100*$B$86/100</f>
        <v>21.067779999999999</v>
      </c>
    </row>
    <row r="102" spans="1:9" ht="19.5" customHeight="1" thickBot="1" x14ac:dyDescent="0.35">
      <c r="A102" s="497" t="s">
        <v>77</v>
      </c>
      <c r="B102" s="498"/>
      <c r="C102" s="351" t="s">
        <v>78</v>
      </c>
      <c r="D102" s="352">
        <f>D101/$B$101</f>
        <v>2.1956E-2</v>
      </c>
      <c r="E102" s="278"/>
      <c r="F102" s="262">
        <f>F101/$B$101</f>
        <v>2.1067779999999998E-2</v>
      </c>
      <c r="H102" s="337"/>
    </row>
    <row r="103" spans="1:9" ht="19.5" customHeight="1" thickBot="1" x14ac:dyDescent="0.35">
      <c r="A103" s="499"/>
      <c r="B103" s="500"/>
      <c r="C103" s="351" t="s">
        <v>127</v>
      </c>
      <c r="D103" s="359">
        <f>$B$56/$B$119</f>
        <v>0.02</v>
      </c>
      <c r="F103" s="264"/>
      <c r="G103" s="339"/>
      <c r="H103" s="337"/>
    </row>
    <row r="104" spans="1:9" ht="18.75" x14ac:dyDescent="0.3">
      <c r="C104" s="351" t="s">
        <v>80</v>
      </c>
      <c r="D104" s="352">
        <f>D103*$B$101</f>
        <v>20</v>
      </c>
      <c r="F104" s="264"/>
      <c r="H104" s="337"/>
    </row>
    <row r="105" spans="1:9" ht="19.5" customHeight="1" thickBot="1" x14ac:dyDescent="0.35">
      <c r="C105" s="354" t="s">
        <v>81</v>
      </c>
      <c r="D105" s="360">
        <f>D104/B34</f>
        <v>20</v>
      </c>
      <c r="F105" s="267"/>
      <c r="H105" s="337"/>
      <c r="I105" s="281"/>
    </row>
    <row r="106" spans="1:9" ht="18.75" x14ac:dyDescent="0.3">
      <c r="C106" s="356" t="s">
        <v>116</v>
      </c>
      <c r="D106" s="357">
        <f>AVERAGE(E94:E97,G94:G97)</f>
        <v>889530.46310527262</v>
      </c>
      <c r="F106" s="267"/>
      <c r="G106" s="339"/>
      <c r="H106" s="337"/>
      <c r="I106" s="283"/>
    </row>
    <row r="107" spans="1:9" ht="18.75" x14ac:dyDescent="0.3">
      <c r="C107" s="263" t="s">
        <v>83</v>
      </c>
      <c r="D107" s="282">
        <f>STDEV(E94:E97,G94:G97)/D106</f>
        <v>3.299116851610738E-3</v>
      </c>
      <c r="F107" s="267"/>
      <c r="H107" s="337"/>
      <c r="I107" s="283"/>
    </row>
    <row r="108" spans="1:9" ht="19.5" customHeight="1" thickBot="1" x14ac:dyDescent="0.35">
      <c r="C108" s="265" t="s">
        <v>19</v>
      </c>
      <c r="D108" s="284">
        <f>COUNT(E94:E97,G94:G97)</f>
        <v>6</v>
      </c>
      <c r="F108" s="267"/>
      <c r="H108" s="337"/>
      <c r="I108" s="283"/>
    </row>
    <row r="109" spans="1:9" ht="19.5" customHeight="1" thickBot="1" x14ac:dyDescent="0.35">
      <c r="A109" s="225"/>
      <c r="B109" s="225"/>
      <c r="C109" s="225"/>
      <c r="D109" s="225"/>
      <c r="E109" s="225"/>
    </row>
    <row r="110" spans="1:9" ht="26.25" customHeight="1" x14ac:dyDescent="0.4">
      <c r="A110" s="244" t="s">
        <v>117</v>
      </c>
      <c r="B110" s="369">
        <v>1000</v>
      </c>
      <c r="C110" s="393" t="s">
        <v>133</v>
      </c>
      <c r="D110" s="286" t="s">
        <v>62</v>
      </c>
      <c r="E110" s="287" t="s">
        <v>119</v>
      </c>
      <c r="F110" s="288" t="s">
        <v>120</v>
      </c>
    </row>
    <row r="111" spans="1:9" ht="26.25" customHeight="1" x14ac:dyDescent="0.4">
      <c r="A111" s="245" t="s">
        <v>121</v>
      </c>
      <c r="B111" s="370">
        <v>5</v>
      </c>
      <c r="C111" s="251">
        <v>1</v>
      </c>
      <c r="D111" s="383">
        <v>401425</v>
      </c>
      <c r="E111" s="289">
        <f t="shared" ref="E111:E116" si="3">IF(ISBLANK(D111),"-",D111/$D$106*$D$103*$B$119)</f>
        <v>36.102192484665281</v>
      </c>
      <c r="F111" s="290">
        <f t="shared" ref="F111:F116" si="4">IF(ISBLANK(D111), "-", E111/$B$56)</f>
        <v>0.45127740605831601</v>
      </c>
    </row>
    <row r="112" spans="1:9" ht="26.25" customHeight="1" x14ac:dyDescent="0.4">
      <c r="A112" s="245" t="s">
        <v>94</v>
      </c>
      <c r="B112" s="370">
        <v>20</v>
      </c>
      <c r="C112" s="251">
        <v>2</v>
      </c>
      <c r="D112" s="383">
        <v>410334</v>
      </c>
      <c r="E112" s="291">
        <f t="shared" si="3"/>
        <v>36.903424178869386</v>
      </c>
      <c r="F112" s="313">
        <f t="shared" si="4"/>
        <v>0.46129280223586733</v>
      </c>
    </row>
    <row r="113" spans="1:9" ht="26.25" customHeight="1" x14ac:dyDescent="0.4">
      <c r="A113" s="245" t="s">
        <v>95</v>
      </c>
      <c r="B113" s="370">
        <v>1</v>
      </c>
      <c r="C113" s="251">
        <v>3</v>
      </c>
      <c r="D113" s="383">
        <v>418199</v>
      </c>
      <c r="E113" s="291">
        <f t="shared" si="3"/>
        <v>37.61076364176256</v>
      </c>
      <c r="F113" s="313">
        <f t="shared" si="4"/>
        <v>0.47013454552203199</v>
      </c>
    </row>
    <row r="114" spans="1:9" ht="26.25" customHeight="1" x14ac:dyDescent="0.4">
      <c r="A114" s="245" t="s">
        <v>96</v>
      </c>
      <c r="B114" s="370">
        <v>1</v>
      </c>
      <c r="C114" s="251">
        <v>4</v>
      </c>
      <c r="D114" s="383">
        <v>410979</v>
      </c>
      <c r="E114" s="291">
        <f t="shared" si="3"/>
        <v>36.961432310282753</v>
      </c>
      <c r="F114" s="313">
        <f t="shared" si="4"/>
        <v>0.46201790387853442</v>
      </c>
    </row>
    <row r="115" spans="1:9" ht="26.25" customHeight="1" x14ac:dyDescent="0.4">
      <c r="A115" s="245" t="s">
        <v>97</v>
      </c>
      <c r="B115" s="370">
        <v>1</v>
      </c>
      <c r="C115" s="251">
        <v>5</v>
      </c>
      <c r="D115" s="383">
        <v>388812</v>
      </c>
      <c r="E115" s="291">
        <f t="shared" si="3"/>
        <v>34.967841226499793</v>
      </c>
      <c r="F115" s="313">
        <f t="shared" si="4"/>
        <v>0.43709801533124742</v>
      </c>
    </row>
    <row r="116" spans="1:9" ht="26.25" customHeight="1" x14ac:dyDescent="0.4">
      <c r="A116" s="245" t="s">
        <v>99</v>
      </c>
      <c r="B116" s="370">
        <v>1</v>
      </c>
      <c r="C116" s="254">
        <v>6</v>
      </c>
      <c r="D116" s="384">
        <v>412804</v>
      </c>
      <c r="E116" s="292">
        <f t="shared" si="3"/>
        <v>37.125563844901954</v>
      </c>
      <c r="F116" s="314">
        <f t="shared" si="4"/>
        <v>0.46406954806127443</v>
      </c>
    </row>
    <row r="117" spans="1:9" ht="26.25" customHeight="1" x14ac:dyDescent="0.4">
      <c r="A117" s="245" t="s">
        <v>100</v>
      </c>
      <c r="B117" s="370">
        <v>1</v>
      </c>
      <c r="C117" s="251"/>
      <c r="D117" s="277"/>
      <c r="E117" s="364"/>
      <c r="F117" s="386" t="s">
        <v>145</v>
      </c>
    </row>
    <row r="118" spans="1:9" ht="26.25" customHeight="1" x14ac:dyDescent="0.4">
      <c r="A118" s="245" t="s">
        <v>101</v>
      </c>
      <c r="B118" s="370">
        <v>1</v>
      </c>
      <c r="C118" s="251"/>
      <c r="D118" s="295" t="s">
        <v>70</v>
      </c>
      <c r="E118" s="386">
        <f>AVERAGE(F111:F116)</f>
        <v>0.45764837018121196</v>
      </c>
      <c r="F118" s="386">
        <f>AVERAGE(ARTEMETHER!F111:F116,F111:F116)</f>
        <v>0.45805969399272622</v>
      </c>
    </row>
    <row r="119" spans="1:9" ht="27" customHeight="1" thickBot="1" x14ac:dyDescent="0.45">
      <c r="A119" s="245" t="s">
        <v>102</v>
      </c>
      <c r="B119" s="341">
        <f>(B118/B117)*(B116/B115)*(B114/B113)*(B112/B111)*B110</f>
        <v>4000</v>
      </c>
      <c r="C119" s="296"/>
      <c r="D119" s="363" t="s">
        <v>83</v>
      </c>
      <c r="E119" s="387">
        <f>STDEV(F111:F116)/E118</f>
        <v>2.571384153958705E-2</v>
      </c>
      <c r="F119" s="467">
        <f>STDEV(ARTEMETHER!F111:F116,F111:F116)/F118</f>
        <v>4.0244271031137896E-2</v>
      </c>
    </row>
    <row r="120" spans="1:9" ht="27" customHeight="1" thickBot="1" x14ac:dyDescent="0.45">
      <c r="A120" s="497" t="s">
        <v>77</v>
      </c>
      <c r="B120" s="501"/>
      <c r="C120" s="299"/>
      <c r="D120" s="301" t="s">
        <v>19</v>
      </c>
      <c r="E120" s="388">
        <f>COUNT(F111:F116)</f>
        <v>6</v>
      </c>
      <c r="F120" s="388">
        <f>COUNT(ARTEMETHER!F111:F116,F111:F116)</f>
        <v>12</v>
      </c>
      <c r="I120" s="283"/>
    </row>
    <row r="121" spans="1:9" ht="19.5" customHeight="1" thickBot="1" x14ac:dyDescent="0.35">
      <c r="A121" s="499"/>
      <c r="B121" s="502"/>
      <c r="C121" s="364"/>
      <c r="D121" s="364"/>
      <c r="E121" s="364"/>
      <c r="F121" s="277"/>
      <c r="G121" s="364"/>
      <c r="H121" s="364"/>
    </row>
    <row r="122" spans="1:9" ht="18.75" x14ac:dyDescent="0.3">
      <c r="A122" s="242"/>
      <c r="B122" s="242"/>
      <c r="C122" s="364"/>
      <c r="D122" s="364"/>
      <c r="E122" s="364"/>
      <c r="F122" s="277"/>
      <c r="G122" s="364"/>
      <c r="H122" s="364"/>
    </row>
    <row r="123" spans="1:9" ht="26.25" customHeight="1" x14ac:dyDescent="0.4">
      <c r="A123" s="329" t="s">
        <v>129</v>
      </c>
      <c r="B123" s="363" t="s">
        <v>122</v>
      </c>
      <c r="C123" s="510" t="str">
        <f>C76</f>
        <v>ARTEMETHER</v>
      </c>
      <c r="D123" s="510"/>
      <c r="E123" s="364" t="s">
        <v>123</v>
      </c>
      <c r="F123" s="364"/>
      <c r="G123" s="389">
        <f>F118</f>
        <v>0.45805969399272622</v>
      </c>
      <c r="H123" s="364"/>
    </row>
    <row r="124" spans="1:9" ht="18.75" x14ac:dyDescent="0.3">
      <c r="A124" s="242"/>
      <c r="B124" s="242"/>
      <c r="C124" s="364"/>
      <c r="D124" s="364"/>
      <c r="E124" s="364"/>
      <c r="F124" s="277"/>
      <c r="G124" s="364"/>
      <c r="H124" s="364"/>
    </row>
    <row r="125" spans="1:9" ht="26.25" customHeight="1" x14ac:dyDescent="0.4">
      <c r="A125" s="231" t="s">
        <v>130</v>
      </c>
      <c r="B125" s="231" t="s">
        <v>131</v>
      </c>
      <c r="D125" s="385" t="s">
        <v>134</v>
      </c>
    </row>
    <row r="126" spans="1:9" ht="19.5" customHeight="1" thickBot="1" x14ac:dyDescent="0.35">
      <c r="A126" s="225"/>
      <c r="B126" s="225"/>
      <c r="C126" s="225"/>
      <c r="D126" s="225"/>
      <c r="E126" s="225"/>
    </row>
    <row r="127" spans="1:9" ht="26.25" customHeight="1" x14ac:dyDescent="0.4">
      <c r="A127" s="244" t="s">
        <v>117</v>
      </c>
      <c r="B127" s="369">
        <v>1000</v>
      </c>
      <c r="C127" s="393" t="s">
        <v>133</v>
      </c>
      <c r="D127" s="286" t="s">
        <v>62</v>
      </c>
      <c r="E127" s="287" t="s">
        <v>119</v>
      </c>
      <c r="F127" s="288" t="s">
        <v>120</v>
      </c>
    </row>
    <row r="128" spans="1:9" ht="26.25" customHeight="1" x14ac:dyDescent="0.4">
      <c r="A128" s="245" t="s">
        <v>121</v>
      </c>
      <c r="B128" s="370">
        <v>5</v>
      </c>
      <c r="C128" s="251">
        <v>1</v>
      </c>
      <c r="D128" s="383">
        <v>566832</v>
      </c>
      <c r="E128" s="345">
        <f t="shared" ref="E128:E133" si="5">IF(ISBLANK(D128),"-",D128/$D$106*$D$103*$B$136)</f>
        <v>50.978085496587887</v>
      </c>
      <c r="F128" s="342">
        <f t="shared" ref="F128:F133" si="6">IF(ISBLANK(D128), "-", E128/$B$56)</f>
        <v>0.63722606870734855</v>
      </c>
    </row>
    <row r="129" spans="1:9" ht="26.25" customHeight="1" x14ac:dyDescent="0.4">
      <c r="A129" s="245" t="s">
        <v>94</v>
      </c>
      <c r="B129" s="370">
        <v>20</v>
      </c>
      <c r="C129" s="251">
        <v>2</v>
      </c>
      <c r="D129" s="383">
        <v>553514</v>
      </c>
      <c r="E129" s="346">
        <f t="shared" si="5"/>
        <v>49.780330001761278</v>
      </c>
      <c r="F129" s="343">
        <f t="shared" si="6"/>
        <v>0.62225412502201594</v>
      </c>
    </row>
    <row r="130" spans="1:9" ht="26.25" customHeight="1" x14ac:dyDescent="0.4">
      <c r="A130" s="245" t="s">
        <v>95</v>
      </c>
      <c r="B130" s="370">
        <v>1</v>
      </c>
      <c r="C130" s="251">
        <v>3</v>
      </c>
      <c r="D130" s="383">
        <v>564844</v>
      </c>
      <c r="E130" s="346">
        <f t="shared" si="5"/>
        <v>50.799294542712282</v>
      </c>
      <c r="F130" s="343">
        <f t="shared" si="6"/>
        <v>0.63499118178390357</v>
      </c>
    </row>
    <row r="131" spans="1:9" ht="26.25" customHeight="1" x14ac:dyDescent="0.4">
      <c r="A131" s="245" t="s">
        <v>96</v>
      </c>
      <c r="B131" s="370">
        <v>1</v>
      </c>
      <c r="C131" s="251">
        <v>4</v>
      </c>
      <c r="D131" s="383">
        <v>567221</v>
      </c>
      <c r="E131" s="346">
        <f t="shared" si="5"/>
        <v>51.013070245610827</v>
      </c>
      <c r="F131" s="343">
        <f t="shared" si="6"/>
        <v>0.63766337807013529</v>
      </c>
    </row>
    <row r="132" spans="1:9" ht="26.25" customHeight="1" x14ac:dyDescent="0.4">
      <c r="A132" s="245" t="s">
        <v>97</v>
      </c>
      <c r="B132" s="370">
        <v>1</v>
      </c>
      <c r="C132" s="251">
        <v>5</v>
      </c>
      <c r="D132" s="383">
        <v>560932</v>
      </c>
      <c r="E132" s="346">
        <f t="shared" si="5"/>
        <v>50.447468480558669</v>
      </c>
      <c r="F132" s="343">
        <f t="shared" si="6"/>
        <v>0.63059335600698341</v>
      </c>
    </row>
    <row r="133" spans="1:9" ht="26.25" customHeight="1" x14ac:dyDescent="0.4">
      <c r="A133" s="245" t="s">
        <v>99</v>
      </c>
      <c r="B133" s="370">
        <v>1</v>
      </c>
      <c r="C133" s="254">
        <v>6</v>
      </c>
      <c r="D133" s="384">
        <v>562409</v>
      </c>
      <c r="E133" s="347">
        <f t="shared" si="5"/>
        <v>50.580302604740893</v>
      </c>
      <c r="F133" s="344">
        <f t="shared" si="6"/>
        <v>0.63225378255926112</v>
      </c>
    </row>
    <row r="134" spans="1:9" ht="26.25" customHeight="1" x14ac:dyDescent="0.4">
      <c r="A134" s="245" t="s">
        <v>100</v>
      </c>
      <c r="B134" s="370">
        <v>1</v>
      </c>
      <c r="C134" s="251"/>
      <c r="D134" s="277"/>
      <c r="E134" s="364"/>
      <c r="F134" s="386" t="s">
        <v>145</v>
      </c>
    </row>
    <row r="135" spans="1:9" ht="26.25" customHeight="1" x14ac:dyDescent="0.4">
      <c r="A135" s="245" t="s">
        <v>101</v>
      </c>
      <c r="B135" s="370">
        <v>1</v>
      </c>
      <c r="C135" s="251"/>
      <c r="D135" s="295" t="s">
        <v>70</v>
      </c>
      <c r="E135" s="386">
        <f>AVERAGE(F128:F133)</f>
        <v>0.63249698202494142</v>
      </c>
      <c r="F135" s="386">
        <f>AVERAGE(ARTEMETHER!F128:F133,F128:F133)</f>
        <v>0.667016821483149</v>
      </c>
    </row>
    <row r="136" spans="1:9" ht="27" customHeight="1" thickBot="1" x14ac:dyDescent="0.45">
      <c r="A136" s="245" t="s">
        <v>102</v>
      </c>
      <c r="B136" s="390">
        <f>(B135/B134)*(B133/B132)*(B131/B130)*(B129/B128)*B127</f>
        <v>4000</v>
      </c>
      <c r="C136" s="296"/>
      <c r="D136" s="363" t="s">
        <v>83</v>
      </c>
      <c r="E136" s="387">
        <f>STDEV(F128:F133)/E135</f>
        <v>9.0513678745369006E-3</v>
      </c>
      <c r="F136" s="467">
        <f>STDEV(ARTEMETHER!F128:F133,F128:F133)/F135</f>
        <v>5.5766822043996786E-2</v>
      </c>
    </row>
    <row r="137" spans="1:9" ht="27" customHeight="1" thickBot="1" x14ac:dyDescent="0.45">
      <c r="A137" s="497" t="s">
        <v>77</v>
      </c>
      <c r="B137" s="501"/>
      <c r="C137" s="299"/>
      <c r="D137" s="301" t="s">
        <v>19</v>
      </c>
      <c r="E137" s="388">
        <f>COUNT(F128:F133)</f>
        <v>6</v>
      </c>
      <c r="F137" s="388">
        <f>COUNT(ARTEMETHER!F128:F133,F128:F133)</f>
        <v>12</v>
      </c>
      <c r="I137" s="283"/>
    </row>
    <row r="138" spans="1:9" ht="19.5" customHeight="1" thickBot="1" x14ac:dyDescent="0.35">
      <c r="A138" s="499"/>
      <c r="B138" s="502"/>
      <c r="C138" s="364"/>
      <c r="D138" s="364"/>
      <c r="E138" s="364"/>
      <c r="F138" s="277"/>
      <c r="G138" s="364"/>
      <c r="H138" s="364"/>
    </row>
    <row r="139" spans="1:9" ht="18.75" x14ac:dyDescent="0.3">
      <c r="A139" s="242"/>
      <c r="B139" s="242"/>
      <c r="C139" s="364"/>
      <c r="D139" s="364"/>
      <c r="E139" s="364"/>
      <c r="F139" s="277"/>
      <c r="G139" s="364"/>
      <c r="H139" s="364"/>
    </row>
    <row r="140" spans="1:9" ht="26.25" customHeight="1" x14ac:dyDescent="0.4">
      <c r="A140" s="329" t="s">
        <v>129</v>
      </c>
      <c r="B140" s="363" t="s">
        <v>122</v>
      </c>
      <c r="C140" s="510" t="str">
        <f>C123</f>
        <v>ARTEMETHER</v>
      </c>
      <c r="D140" s="510"/>
      <c r="E140" s="364" t="s">
        <v>123</v>
      </c>
      <c r="F140" s="364"/>
      <c r="G140" s="389">
        <f>F135</f>
        <v>0.667016821483149</v>
      </c>
      <c r="H140" s="364"/>
    </row>
    <row r="141" spans="1:9" ht="19.5" customHeight="1" thickBot="1" x14ac:dyDescent="0.35">
      <c r="A141" s="394"/>
      <c r="B141" s="394"/>
      <c r="C141" s="316"/>
      <c r="D141" s="316"/>
      <c r="E141" s="316"/>
      <c r="F141" s="316"/>
      <c r="G141" s="316"/>
      <c r="H141" s="316"/>
    </row>
    <row r="142" spans="1:9" ht="18.75" x14ac:dyDescent="0.3">
      <c r="B142" s="511" t="s">
        <v>25</v>
      </c>
      <c r="C142" s="511"/>
      <c r="E142" s="396" t="s">
        <v>26</v>
      </c>
      <c r="F142" s="328"/>
      <c r="G142" s="511" t="s">
        <v>27</v>
      </c>
      <c r="H142" s="511"/>
    </row>
    <row r="143" spans="1:9" ht="39.75" customHeight="1" x14ac:dyDescent="0.3">
      <c r="A143" s="329" t="s">
        <v>28</v>
      </c>
      <c r="B143" s="361"/>
      <c r="C143" s="361"/>
      <c r="E143" s="326"/>
      <c r="F143" s="364"/>
      <c r="G143" s="326"/>
      <c r="H143" s="326"/>
    </row>
    <row r="144" spans="1:9" ht="39" customHeight="1" x14ac:dyDescent="0.3">
      <c r="A144" s="329" t="s">
        <v>29</v>
      </c>
      <c r="B144" s="362"/>
      <c r="C144" s="362"/>
      <c r="E144" s="325"/>
      <c r="F144" s="364"/>
      <c r="G144" s="327"/>
      <c r="H144" s="327"/>
    </row>
    <row r="145" spans="1:8" ht="18.75" x14ac:dyDescent="0.3">
      <c r="A145" s="277"/>
      <c r="B145" s="277"/>
      <c r="C145" s="277"/>
      <c r="D145" s="277"/>
      <c r="E145" s="277"/>
      <c r="F145" s="278"/>
      <c r="G145" s="277"/>
      <c r="H145" s="277"/>
    </row>
    <row r="146" spans="1:8" ht="18.75" x14ac:dyDescent="0.3">
      <c r="A146" s="277"/>
      <c r="B146" s="277"/>
      <c r="C146" s="277"/>
      <c r="D146" s="277"/>
      <c r="E146" s="277"/>
      <c r="F146" s="278"/>
      <c r="G146" s="277"/>
      <c r="H146" s="277"/>
    </row>
    <row r="147" spans="1:8" ht="18.75" x14ac:dyDescent="0.3">
      <c r="A147" s="277"/>
      <c r="B147" s="277"/>
      <c r="C147" s="277"/>
      <c r="D147" s="277"/>
      <c r="E147" s="277"/>
      <c r="F147" s="278"/>
      <c r="G147" s="277"/>
      <c r="H147" s="277"/>
    </row>
    <row r="148" spans="1:8" ht="18.75" x14ac:dyDescent="0.3">
      <c r="A148" s="277"/>
      <c r="B148" s="277"/>
      <c r="C148" s="277"/>
      <c r="D148" s="277"/>
      <c r="E148" s="277"/>
      <c r="F148" s="278"/>
      <c r="G148" s="277"/>
      <c r="H148" s="277"/>
    </row>
    <row r="149" spans="1:8" ht="18.75" x14ac:dyDescent="0.3">
      <c r="A149" s="277"/>
      <c r="B149" s="277"/>
      <c r="C149" s="277"/>
      <c r="D149" s="277"/>
      <c r="E149" s="277"/>
      <c r="F149" s="278"/>
      <c r="G149" s="277"/>
      <c r="H149" s="277"/>
    </row>
    <row r="150" spans="1:8" ht="18.75" x14ac:dyDescent="0.3">
      <c r="A150" s="277"/>
      <c r="B150" s="277"/>
      <c r="C150" s="277"/>
      <c r="D150" s="277"/>
      <c r="E150" s="277"/>
      <c r="F150" s="278"/>
      <c r="G150" s="277"/>
      <c r="H150" s="277"/>
    </row>
    <row r="151" spans="1:8" ht="18.75" x14ac:dyDescent="0.3">
      <c r="A151" s="277"/>
      <c r="B151" s="277"/>
      <c r="C151" s="277"/>
      <c r="D151" s="277"/>
      <c r="E151" s="277"/>
      <c r="F151" s="278"/>
      <c r="G151" s="277"/>
      <c r="H151" s="277"/>
    </row>
    <row r="152" spans="1:8" ht="18.75" x14ac:dyDescent="0.3">
      <c r="A152" s="277"/>
      <c r="B152" s="277"/>
      <c r="C152" s="277"/>
      <c r="D152" s="277"/>
      <c r="E152" s="277"/>
      <c r="F152" s="278"/>
      <c r="G152" s="277"/>
      <c r="H152" s="277"/>
    </row>
    <row r="153" spans="1:8" ht="18.75" x14ac:dyDescent="0.3">
      <c r="A153" s="277"/>
      <c r="B153" s="277"/>
      <c r="C153" s="277"/>
      <c r="D153" s="277"/>
      <c r="E153" s="277"/>
      <c r="F153" s="278"/>
      <c r="G153" s="277"/>
      <c r="H153" s="277"/>
    </row>
    <row r="252" spans="1:1" x14ac:dyDescent="0.25">
      <c r="A252" s="336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B21:H21"/>
    <mergeCell ref="A1:H7"/>
    <mergeCell ref="A8:H14"/>
    <mergeCell ref="A16:H16"/>
    <mergeCell ref="B18:C18"/>
    <mergeCell ref="B20:C20"/>
    <mergeCell ref="B26:C26"/>
    <mergeCell ref="C29:G29"/>
    <mergeCell ref="C31:H31"/>
    <mergeCell ref="C32:H32"/>
    <mergeCell ref="D36:E36"/>
    <mergeCell ref="F36:G36"/>
    <mergeCell ref="F92:G92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82:C82"/>
    <mergeCell ref="C85:G85"/>
    <mergeCell ref="C87:H87"/>
    <mergeCell ref="C88:H88"/>
    <mergeCell ref="G142:H142"/>
    <mergeCell ref="A102:B103"/>
    <mergeCell ref="A120:B121"/>
    <mergeCell ref="C123:D123"/>
    <mergeCell ref="A137:B138"/>
    <mergeCell ref="C140:D140"/>
    <mergeCell ref="B142:C142"/>
  </mergeCells>
  <printOptions horizontalCentered="1" verticalCentered="1"/>
  <pageMargins left="0.7" right="0.7" top="0.75" bottom="0.75" header="0.3" footer="0.3"/>
  <pageSetup paperSize="9" scale="29" fitToHeight="2" orientation="portrait" r:id="rId1"/>
  <headerFooter alignWithMargins="0"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3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4" t="s">
        <v>44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 x14ac:dyDescent="0.25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 x14ac:dyDescent="0.25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 x14ac:dyDescent="0.25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 x14ac:dyDescent="0.25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 x14ac:dyDescent="0.25">
      <c r="A7" s="484"/>
      <c r="B7" s="484"/>
      <c r="C7" s="484"/>
      <c r="D7" s="484"/>
      <c r="E7" s="484"/>
      <c r="F7" s="484"/>
      <c r="G7" s="484"/>
      <c r="H7" s="484"/>
      <c r="I7" s="484"/>
    </row>
    <row r="8" spans="1:9" x14ac:dyDescent="0.25">
      <c r="A8" s="485" t="s">
        <v>45</v>
      </c>
      <c r="B8" s="485"/>
      <c r="C8" s="485"/>
      <c r="D8" s="485"/>
      <c r="E8" s="485"/>
      <c r="F8" s="485"/>
      <c r="G8" s="485"/>
      <c r="H8" s="485"/>
      <c r="I8" s="485"/>
    </row>
    <row r="9" spans="1:9" x14ac:dyDescent="0.25">
      <c r="A9" s="485"/>
      <c r="B9" s="485"/>
      <c r="C9" s="485"/>
      <c r="D9" s="485"/>
      <c r="E9" s="485"/>
      <c r="F9" s="485"/>
      <c r="G9" s="485"/>
      <c r="H9" s="485"/>
      <c r="I9" s="485"/>
    </row>
    <row r="10" spans="1:9" x14ac:dyDescent="0.25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x14ac:dyDescent="0.25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x14ac:dyDescent="0.25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x14ac:dyDescent="0.25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x14ac:dyDescent="0.25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x14ac:dyDescent="0.3">
      <c r="A15" s="52"/>
    </row>
    <row r="16" spans="1:9" ht="19.5" customHeight="1" x14ac:dyDescent="0.3">
      <c r="A16" s="520" t="s">
        <v>30</v>
      </c>
      <c r="B16" s="521"/>
      <c r="C16" s="521"/>
      <c r="D16" s="521"/>
      <c r="E16" s="521"/>
      <c r="F16" s="521"/>
      <c r="G16" s="521"/>
      <c r="H16" s="522"/>
    </row>
    <row r="17" spans="1:14" ht="20.25" customHeight="1" x14ac:dyDescent="0.25">
      <c r="A17" s="523" t="s">
        <v>46</v>
      </c>
      <c r="B17" s="523"/>
      <c r="C17" s="523"/>
      <c r="D17" s="523"/>
      <c r="E17" s="523"/>
      <c r="F17" s="523"/>
      <c r="G17" s="523"/>
      <c r="H17" s="523"/>
    </row>
    <row r="18" spans="1:14" ht="26.25" customHeight="1" x14ac:dyDescent="0.4">
      <c r="A18" s="54" t="s">
        <v>32</v>
      </c>
      <c r="B18" s="493" t="s">
        <v>5</v>
      </c>
      <c r="C18" s="493"/>
      <c r="D18" s="211"/>
      <c r="E18" s="55"/>
      <c r="F18" s="56"/>
      <c r="G18" s="56"/>
      <c r="H18" s="56"/>
    </row>
    <row r="19" spans="1:14" ht="26.25" customHeight="1" x14ac:dyDescent="0.4">
      <c r="A19" s="54" t="s">
        <v>33</v>
      </c>
      <c r="B19" s="57" t="s">
        <v>7</v>
      </c>
      <c r="C19" s="224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34</v>
      </c>
      <c r="B20" s="494" t="s">
        <v>9</v>
      </c>
      <c r="C20" s="494"/>
      <c r="D20" s="56"/>
      <c r="E20" s="56"/>
      <c r="F20" s="56"/>
      <c r="G20" s="56"/>
      <c r="H20" s="56"/>
    </row>
    <row r="21" spans="1:14" ht="26.25" customHeight="1" x14ac:dyDescent="0.4">
      <c r="A21" s="54" t="s">
        <v>35</v>
      </c>
      <c r="B21" s="494" t="s">
        <v>11</v>
      </c>
      <c r="C21" s="494"/>
      <c r="D21" s="494"/>
      <c r="E21" s="494"/>
      <c r="F21" s="494"/>
      <c r="G21" s="494"/>
      <c r="H21" s="494"/>
      <c r="I21" s="58"/>
    </row>
    <row r="22" spans="1:14" ht="26.25" customHeight="1" x14ac:dyDescent="0.4">
      <c r="A22" s="54" t="s">
        <v>36</v>
      </c>
      <c r="B22" s="59" t="s">
        <v>139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37</v>
      </c>
      <c r="B23" s="59" t="s">
        <v>140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93" t="s">
        <v>137</v>
      </c>
      <c r="C26" s="493"/>
    </row>
    <row r="27" spans="1:14" ht="26.25" customHeight="1" x14ac:dyDescent="0.4">
      <c r="A27" s="63" t="s">
        <v>47</v>
      </c>
      <c r="B27" s="524" t="s">
        <v>138</v>
      </c>
      <c r="C27" s="524"/>
    </row>
    <row r="28" spans="1:14" ht="27" customHeight="1" thickBot="1" x14ac:dyDescent="0.45">
      <c r="A28" s="63" t="s">
        <v>6</v>
      </c>
      <c r="B28" s="367">
        <v>100.2</v>
      </c>
      <c r="C28" s="336"/>
    </row>
    <row r="29" spans="1:14" s="4" customFormat="1" ht="27" customHeight="1" thickBot="1" x14ac:dyDescent="0.45">
      <c r="A29" s="63" t="s">
        <v>48</v>
      </c>
      <c r="B29" s="65">
        <v>0</v>
      </c>
      <c r="C29" s="503" t="s">
        <v>49</v>
      </c>
      <c r="D29" s="504"/>
      <c r="E29" s="504"/>
      <c r="F29" s="504"/>
      <c r="G29" s="505"/>
      <c r="I29" s="66"/>
      <c r="J29" s="66"/>
      <c r="K29" s="66"/>
      <c r="L29" s="66"/>
    </row>
    <row r="30" spans="1:14" s="4" customFormat="1" ht="19.5" customHeight="1" x14ac:dyDescent="0.3">
      <c r="A30" s="63" t="s">
        <v>50</v>
      </c>
      <c r="B30" s="67">
        <f>B28-B29</f>
        <v>100.2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4" customFormat="1" ht="27" customHeight="1" x14ac:dyDescent="0.4">
      <c r="A31" s="63" t="s">
        <v>51</v>
      </c>
      <c r="B31" s="70">
        <v>1</v>
      </c>
      <c r="C31" s="489" t="s">
        <v>52</v>
      </c>
      <c r="D31" s="490"/>
      <c r="E31" s="490"/>
      <c r="F31" s="490"/>
      <c r="G31" s="490"/>
      <c r="H31" s="491"/>
      <c r="I31" s="66"/>
      <c r="J31" s="66"/>
      <c r="K31" s="66"/>
      <c r="L31" s="66"/>
    </row>
    <row r="32" spans="1:14" s="4" customFormat="1" ht="27" customHeight="1" x14ac:dyDescent="0.4">
      <c r="A32" s="63" t="s">
        <v>53</v>
      </c>
      <c r="B32" s="70">
        <v>1</v>
      </c>
      <c r="C32" s="489" t="s">
        <v>54</v>
      </c>
      <c r="D32" s="490"/>
      <c r="E32" s="490"/>
      <c r="F32" s="490"/>
      <c r="G32" s="490"/>
      <c r="H32" s="491"/>
      <c r="I32" s="66"/>
      <c r="J32" s="66"/>
      <c r="K32" s="66"/>
      <c r="L32" s="71"/>
      <c r="M32" s="71"/>
      <c r="N32" s="72"/>
    </row>
    <row r="33" spans="1:14" s="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4" customFormat="1" ht="18.75" x14ac:dyDescent="0.3">
      <c r="A34" s="63" t="s">
        <v>55</v>
      </c>
      <c r="B34" s="75">
        <f>B31/B32</f>
        <v>1</v>
      </c>
      <c r="C34" s="53" t="s">
        <v>56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4" customFormat="1" ht="27" customHeight="1" x14ac:dyDescent="0.4">
      <c r="A36" s="76" t="s">
        <v>57</v>
      </c>
      <c r="B36" s="77">
        <v>50</v>
      </c>
      <c r="C36" s="53"/>
      <c r="D36" s="495" t="s">
        <v>58</v>
      </c>
      <c r="E36" s="519"/>
      <c r="F36" s="495" t="s">
        <v>59</v>
      </c>
      <c r="G36" s="496"/>
      <c r="J36" s="66"/>
      <c r="K36" s="66"/>
      <c r="L36" s="71"/>
      <c r="M36" s="71"/>
      <c r="N36" s="72"/>
    </row>
    <row r="37" spans="1:14" s="4" customFormat="1" ht="27" customHeight="1" x14ac:dyDescent="0.4">
      <c r="A37" s="78" t="s">
        <v>60</v>
      </c>
      <c r="B37" s="79">
        <v>4</v>
      </c>
      <c r="C37" s="80" t="s">
        <v>61</v>
      </c>
      <c r="D37" s="81" t="s">
        <v>62</v>
      </c>
      <c r="E37" s="82" t="s">
        <v>63</v>
      </c>
      <c r="F37" s="81" t="s">
        <v>62</v>
      </c>
      <c r="G37" s="83" t="s">
        <v>63</v>
      </c>
      <c r="I37" s="84" t="s">
        <v>64</v>
      </c>
      <c r="J37" s="66"/>
      <c r="K37" s="66"/>
      <c r="L37" s="71"/>
      <c r="M37" s="71"/>
      <c r="N37" s="72"/>
    </row>
    <row r="38" spans="1:14" s="4" customFormat="1" ht="26.25" customHeight="1" x14ac:dyDescent="0.4">
      <c r="A38" s="78" t="s">
        <v>65</v>
      </c>
      <c r="B38" s="79">
        <v>20</v>
      </c>
      <c r="C38" s="85">
        <v>1</v>
      </c>
      <c r="D38" s="399">
        <v>8379162</v>
      </c>
      <c r="E38" s="317">
        <f>IF(ISBLANK(D38),"-",$D$48/$D$45*D38)</f>
        <v>7757362.8253696682</v>
      </c>
      <c r="F38" s="371">
        <v>10061419</v>
      </c>
      <c r="G38" s="88">
        <f>IF(ISBLANK(F38),"-",$D$48/$F$45*F38)</f>
        <v>7796068.5771314502</v>
      </c>
      <c r="I38" s="89"/>
      <c r="J38" s="66"/>
      <c r="K38" s="66"/>
      <c r="L38" s="71"/>
      <c r="M38" s="71"/>
      <c r="N38" s="72"/>
    </row>
    <row r="39" spans="1:14" s="4" customFormat="1" ht="26.25" customHeight="1" x14ac:dyDescent="0.4">
      <c r="A39" s="78" t="s">
        <v>66</v>
      </c>
      <c r="B39" s="79">
        <v>1</v>
      </c>
      <c r="C39" s="90">
        <v>2</v>
      </c>
      <c r="D39" s="399">
        <v>8367316</v>
      </c>
      <c r="E39" s="318">
        <f>IF(ISBLANK(D39),"-",$D$48/$D$45*D39)</f>
        <v>7746395.8909638971</v>
      </c>
      <c r="F39" s="371">
        <v>10062388</v>
      </c>
      <c r="G39" s="93">
        <f>IF(ISBLANK(F39),"-",$D$48/$F$45*F39)</f>
        <v>7796819.4046689216</v>
      </c>
      <c r="I39" s="525">
        <f>ABS((F43/D43*D42)-F42)/D42</f>
        <v>6.3899513345980112E-3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67</v>
      </c>
      <c r="B40" s="79">
        <v>1</v>
      </c>
      <c r="C40" s="90">
        <v>3</v>
      </c>
      <c r="D40" s="399">
        <v>8384910</v>
      </c>
      <c r="E40" s="318">
        <f>IF(ISBLANK(D40),"-",$D$48/$D$45*D40)</f>
        <v>7762684.278937486</v>
      </c>
      <c r="F40" s="371">
        <v>10045309</v>
      </c>
      <c r="G40" s="93">
        <f>IF(ISBLANK(F40),"-",$D$48/$F$45*F40)</f>
        <v>7783585.7787530515</v>
      </c>
      <c r="I40" s="525"/>
      <c r="L40" s="71"/>
      <c r="M40" s="71"/>
      <c r="N40" s="94"/>
    </row>
    <row r="41" spans="1:14" ht="27" customHeight="1" x14ac:dyDescent="0.4">
      <c r="A41" s="78" t="s">
        <v>68</v>
      </c>
      <c r="B41" s="79">
        <v>1</v>
      </c>
      <c r="C41" s="95">
        <v>4</v>
      </c>
      <c r="D41" s="373">
        <v>8331298</v>
      </c>
      <c r="E41" s="319">
        <f>IF(ISBLANK(D41),"-",$D$48/$D$45*D41)</f>
        <v>7713050.7074903985</v>
      </c>
      <c r="F41" s="373">
        <v>10026100</v>
      </c>
      <c r="G41" s="98">
        <f>IF(ISBLANK(F41),"-",$D$48/$F$45*F41)</f>
        <v>7768701.7269808203</v>
      </c>
      <c r="I41" s="99"/>
      <c r="L41" s="71"/>
      <c r="M41" s="71"/>
      <c r="N41" s="94"/>
    </row>
    <row r="42" spans="1:14" ht="27" customHeight="1" x14ac:dyDescent="0.4">
      <c r="A42" s="78" t="s">
        <v>69</v>
      </c>
      <c r="B42" s="79">
        <v>1</v>
      </c>
      <c r="C42" s="100" t="s">
        <v>70</v>
      </c>
      <c r="D42" s="256">
        <f>AVERAGE(D38:D41)</f>
        <v>8365671.5</v>
      </c>
      <c r="E42" s="280">
        <f>AVERAGE(E38:E41)</f>
        <v>7744873.4256903622</v>
      </c>
      <c r="F42" s="256">
        <f>AVERAGE(F38:F41)</f>
        <v>10048804</v>
      </c>
      <c r="G42" s="102">
        <f>AVERAGE(G38:G41)</f>
        <v>7786293.8718835609</v>
      </c>
      <c r="H42" s="103"/>
    </row>
    <row r="43" spans="1:14" ht="26.25" customHeight="1" x14ac:dyDescent="0.4">
      <c r="A43" s="78" t="s">
        <v>71</v>
      </c>
      <c r="B43" s="79">
        <v>1</v>
      </c>
      <c r="C43" s="104" t="s">
        <v>72</v>
      </c>
      <c r="D43" s="374">
        <v>16.170000000000002</v>
      </c>
      <c r="E43" s="364"/>
      <c r="F43" s="374">
        <v>19.32</v>
      </c>
      <c r="H43" s="103"/>
    </row>
    <row r="44" spans="1:14" ht="26.25" customHeight="1" x14ac:dyDescent="0.4">
      <c r="A44" s="78" t="s">
        <v>73</v>
      </c>
      <c r="B44" s="79">
        <v>1</v>
      </c>
      <c r="C44" s="106" t="s">
        <v>74</v>
      </c>
      <c r="D44" s="107">
        <f>D43*$B$34</f>
        <v>16.170000000000002</v>
      </c>
      <c r="E44" s="108"/>
      <c r="F44" s="107">
        <f>F43*$B$34</f>
        <v>19.32</v>
      </c>
      <c r="H44" s="103"/>
    </row>
    <row r="45" spans="1:14" ht="19.5" customHeight="1" x14ac:dyDescent="0.3">
      <c r="A45" s="78" t="s">
        <v>75</v>
      </c>
      <c r="B45" s="109">
        <f>(B44/B43)*(B42/B41)*(B40/B39)*(B38/B37)*B36</f>
        <v>250</v>
      </c>
      <c r="C45" s="106" t="s">
        <v>76</v>
      </c>
      <c r="D45" s="110">
        <f>D44*$B$30/100</f>
        <v>16.202340000000003</v>
      </c>
      <c r="E45" s="111"/>
      <c r="F45" s="110">
        <f>F44*$B$30/100</f>
        <v>19.358640000000001</v>
      </c>
      <c r="H45" s="103"/>
    </row>
    <row r="46" spans="1:14" ht="19.5" customHeight="1" x14ac:dyDescent="0.3">
      <c r="A46" s="497" t="s">
        <v>77</v>
      </c>
      <c r="B46" s="501"/>
      <c r="C46" s="106" t="s">
        <v>78</v>
      </c>
      <c r="D46" s="112">
        <f>D45/$B$45</f>
        <v>6.480936000000001E-2</v>
      </c>
      <c r="E46" s="113"/>
      <c r="F46" s="114">
        <f>F45/$B$45</f>
        <v>7.743456E-2</v>
      </c>
      <c r="H46" s="103"/>
    </row>
    <row r="47" spans="1:14" ht="27" customHeight="1" x14ac:dyDescent="0.4">
      <c r="A47" s="499"/>
      <c r="B47" s="502"/>
      <c r="C47" s="115" t="s">
        <v>79</v>
      </c>
      <c r="D47" s="116">
        <v>0.06</v>
      </c>
      <c r="E47" s="117"/>
      <c r="F47" s="113"/>
      <c r="H47" s="103"/>
    </row>
    <row r="48" spans="1:14" ht="18.75" x14ac:dyDescent="0.3">
      <c r="C48" s="118" t="s">
        <v>80</v>
      </c>
      <c r="D48" s="110">
        <f>D47*$B$45</f>
        <v>15</v>
      </c>
      <c r="F48" s="119"/>
      <c r="H48" s="103"/>
    </row>
    <row r="49" spans="1:12" ht="19.5" customHeight="1" x14ac:dyDescent="0.3">
      <c r="C49" s="120" t="s">
        <v>81</v>
      </c>
      <c r="D49" s="121">
        <f>D48/B34</f>
        <v>15</v>
      </c>
      <c r="F49" s="119"/>
      <c r="H49" s="103"/>
    </row>
    <row r="50" spans="1:12" ht="18.75" x14ac:dyDescent="0.3">
      <c r="C50" s="76" t="s">
        <v>82</v>
      </c>
      <c r="D50" s="122">
        <f>AVERAGE(E38:E41,G38:G41)</f>
        <v>7765583.6487869611</v>
      </c>
      <c r="F50" s="123"/>
      <c r="H50" s="103"/>
    </row>
    <row r="51" spans="1:12" ht="18.75" x14ac:dyDescent="0.3">
      <c r="C51" s="78" t="s">
        <v>83</v>
      </c>
      <c r="D51" s="124">
        <f>STDEV(E38:E41,G38:G41)/D50</f>
        <v>3.5907312825288282E-3</v>
      </c>
      <c r="F51" s="123"/>
      <c r="H51" s="103"/>
    </row>
    <row r="52" spans="1:12" ht="19.5" customHeight="1" x14ac:dyDescent="0.3">
      <c r="C52" s="125" t="s">
        <v>19</v>
      </c>
      <c r="D52" s="126">
        <f>COUNT(E38:E41,G38:G41)</f>
        <v>8</v>
      </c>
      <c r="F52" s="123"/>
    </row>
    <row r="54" spans="1:12" ht="18.75" x14ac:dyDescent="0.3">
      <c r="A54" s="127" t="s">
        <v>1</v>
      </c>
      <c r="B54" s="128" t="s">
        <v>84</v>
      </c>
    </row>
    <row r="55" spans="1:12" ht="18.75" x14ac:dyDescent="0.3">
      <c r="A55" s="53" t="s">
        <v>85</v>
      </c>
      <c r="B55" s="129" t="str">
        <f>B21</f>
        <v>Artemether 80 mg + Lumefantrine 480 mg per tablet</v>
      </c>
    </row>
    <row r="56" spans="1:12" ht="26.25" customHeight="1" x14ac:dyDescent="0.4">
      <c r="A56" s="130" t="s">
        <v>86</v>
      </c>
      <c r="B56" s="131">
        <v>480</v>
      </c>
      <c r="C56" s="53" t="str">
        <f>B26</f>
        <v xml:space="preserve">Lumefantrine </v>
      </c>
      <c r="H56" s="132"/>
    </row>
    <row r="57" spans="1:12" ht="18.75" x14ac:dyDescent="0.3">
      <c r="A57" s="129" t="s">
        <v>87</v>
      </c>
      <c r="B57" s="212">
        <f>Uniformity!C46</f>
        <v>698.87450000000013</v>
      </c>
      <c r="H57" s="132"/>
    </row>
    <row r="58" spans="1:12" ht="19.5" customHeight="1" x14ac:dyDescent="0.3">
      <c r="H58" s="132"/>
    </row>
    <row r="59" spans="1:12" s="4" customFormat="1" ht="27" customHeight="1" thickBot="1" x14ac:dyDescent="0.45">
      <c r="A59" s="76" t="s">
        <v>88</v>
      </c>
      <c r="B59" s="77">
        <v>100</v>
      </c>
      <c r="C59" s="53"/>
      <c r="D59" s="133" t="s">
        <v>89</v>
      </c>
      <c r="E59" s="134" t="s">
        <v>61</v>
      </c>
      <c r="F59" s="134" t="s">
        <v>62</v>
      </c>
      <c r="G59" s="134"/>
      <c r="H59" s="80" t="s">
        <v>91</v>
      </c>
      <c r="L59" s="66"/>
    </row>
    <row r="60" spans="1:12" s="4" customFormat="1" ht="26.25" customHeight="1" x14ac:dyDescent="0.4">
      <c r="A60" s="78" t="s">
        <v>92</v>
      </c>
      <c r="B60" s="79">
        <v>2</v>
      </c>
      <c r="C60" s="512" t="s">
        <v>93</v>
      </c>
      <c r="D60" s="516">
        <v>84.4</v>
      </c>
      <c r="E60" s="273">
        <v>1</v>
      </c>
      <c r="F60" s="377">
        <v>7660715</v>
      </c>
      <c r="G60" s="213">
        <f>IF(ISBLANK(F60),"-",(F60/$D$50*$D$47*$B$68)*($B$57/$D$60))</f>
        <v>490.12087685724862</v>
      </c>
      <c r="H60" s="135">
        <f t="shared" ref="H60:H71" si="0">IF(ISBLANK(F60),"-",G60/$B$56)</f>
        <v>1.0210851601192679</v>
      </c>
      <c r="L60" s="66"/>
    </row>
    <row r="61" spans="1:12" s="4" customFormat="1" ht="26.25" customHeight="1" x14ac:dyDescent="0.4">
      <c r="A61" s="78" t="s">
        <v>94</v>
      </c>
      <c r="B61" s="79">
        <v>20</v>
      </c>
      <c r="C61" s="513"/>
      <c r="D61" s="517"/>
      <c r="E61" s="274">
        <v>2</v>
      </c>
      <c r="F61" s="372">
        <v>7641381</v>
      </c>
      <c r="G61" s="214">
        <f>IF(ISBLANK(F61),"-",(F61/$D$50*$D$47*$B$68)*($B$57/$D$60))</f>
        <v>488.88391698690253</v>
      </c>
      <c r="H61" s="136">
        <f t="shared" si="0"/>
        <v>1.0185081603893802</v>
      </c>
      <c r="L61" s="66"/>
    </row>
    <row r="62" spans="1:12" s="4" customFormat="1" ht="26.25" customHeight="1" x14ac:dyDescent="0.4">
      <c r="A62" s="78" t="s">
        <v>95</v>
      </c>
      <c r="B62" s="79">
        <v>1</v>
      </c>
      <c r="C62" s="513"/>
      <c r="D62" s="517"/>
      <c r="E62" s="274">
        <v>3</v>
      </c>
      <c r="F62" s="137">
        <v>7639094</v>
      </c>
      <c r="G62" s="214">
        <f>IF(ISBLANK(F62),"-",(F62/$D$50*$D$47*$B$68)*($B$57/$D$60))</f>
        <v>488.73759821047344</v>
      </c>
      <c r="H62" s="136">
        <f t="shared" si="0"/>
        <v>1.0182033296051529</v>
      </c>
      <c r="L62" s="66"/>
    </row>
    <row r="63" spans="1:12" ht="27" customHeight="1" thickBot="1" x14ac:dyDescent="0.45">
      <c r="A63" s="78" t="s">
        <v>96</v>
      </c>
      <c r="B63" s="79">
        <v>1</v>
      </c>
      <c r="C63" s="514"/>
      <c r="D63" s="518"/>
      <c r="E63" s="275">
        <v>4</v>
      </c>
      <c r="F63" s="378"/>
      <c r="G63" s="214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8" t="s">
        <v>97</v>
      </c>
      <c r="B64" s="79">
        <v>1</v>
      </c>
      <c r="C64" s="512" t="s">
        <v>98</v>
      </c>
      <c r="D64" s="516">
        <v>87.64</v>
      </c>
      <c r="E64" s="273">
        <v>1</v>
      </c>
      <c r="F64" s="377">
        <v>7659986</v>
      </c>
      <c r="G64" s="215">
        <f>IF(ISBLANK(F64),"-",(F64/$D$50*$D$47*$B$68)*($B$57/$D$64))</f>
        <v>471.95647609108812</v>
      </c>
      <c r="H64" s="138">
        <f t="shared" si="0"/>
        <v>0.98324265852310022</v>
      </c>
    </row>
    <row r="65" spans="1:8" ht="26.25" customHeight="1" x14ac:dyDescent="0.4">
      <c r="A65" s="78" t="s">
        <v>99</v>
      </c>
      <c r="B65" s="79">
        <v>1</v>
      </c>
      <c r="C65" s="513"/>
      <c r="D65" s="517"/>
      <c r="E65" s="274">
        <v>2</v>
      </c>
      <c r="F65" s="372">
        <v>7641081</v>
      </c>
      <c r="G65" s="216">
        <f>IF(ISBLANK(F65),"-",(F65/$D$50*$D$47*$B$68)*($B$57/$D$64))</f>
        <v>470.79167798564742</v>
      </c>
      <c r="H65" s="139">
        <f t="shared" si="0"/>
        <v>0.98081599580343215</v>
      </c>
    </row>
    <row r="66" spans="1:8" ht="26.25" customHeight="1" x14ac:dyDescent="0.4">
      <c r="A66" s="78" t="s">
        <v>100</v>
      </c>
      <c r="B66" s="79">
        <v>1</v>
      </c>
      <c r="C66" s="513"/>
      <c r="D66" s="517"/>
      <c r="E66" s="274">
        <v>3</v>
      </c>
      <c r="F66" s="372">
        <v>7638091</v>
      </c>
      <c r="G66" s="216">
        <f>IF(ISBLANK(F66),"-",(F66/$D$50*$D$47*$B$68)*($B$57/$D$64))</f>
        <v>470.60745442916675</v>
      </c>
      <c r="H66" s="139">
        <f t="shared" si="0"/>
        <v>0.98043219672743076</v>
      </c>
    </row>
    <row r="67" spans="1:8" ht="27" customHeight="1" thickBot="1" x14ac:dyDescent="0.45">
      <c r="A67" s="78" t="s">
        <v>101</v>
      </c>
      <c r="B67" s="79">
        <v>1</v>
      </c>
      <c r="C67" s="514"/>
      <c r="D67" s="518"/>
      <c r="E67" s="275">
        <v>4</v>
      </c>
      <c r="F67" s="378"/>
      <c r="G67" s="217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4">
      <c r="A68" s="78" t="s">
        <v>102</v>
      </c>
      <c r="B68" s="141">
        <f>(B67/B66)*(B65/B64)*(B63/B62)*(B61/B60)*B59</f>
        <v>1000</v>
      </c>
      <c r="C68" s="512" t="s">
        <v>103</v>
      </c>
      <c r="D68" s="516">
        <v>90.94</v>
      </c>
      <c r="E68" s="273">
        <v>1</v>
      </c>
      <c r="F68" s="377">
        <v>8074591</v>
      </c>
      <c r="G68" s="215">
        <f>IF(ISBLANK(F68),"-",(F68/$D$50*$D$47*$B$68)*($B$57/$D$68))</f>
        <v>479.44845808631948</v>
      </c>
      <c r="H68" s="136">
        <f t="shared" si="0"/>
        <v>0.99885095434649895</v>
      </c>
    </row>
    <row r="69" spans="1:8" ht="27" customHeight="1" thickBot="1" x14ac:dyDescent="0.45">
      <c r="A69" s="125" t="s">
        <v>104</v>
      </c>
      <c r="B69" s="142">
        <f>(D47*B68)/B56*B57</f>
        <v>87.359312500000016</v>
      </c>
      <c r="C69" s="513"/>
      <c r="D69" s="517"/>
      <c r="E69" s="274">
        <v>2</v>
      </c>
      <c r="F69" s="372">
        <v>8056797</v>
      </c>
      <c r="G69" s="216">
        <f>IF(ISBLANK(F69),"-",(F69/$D$50*$D$47*$B$68)*($B$57/$D$68))</f>
        <v>478.39189610526211</v>
      </c>
      <c r="H69" s="136">
        <f t="shared" si="0"/>
        <v>0.99664978355262934</v>
      </c>
    </row>
    <row r="70" spans="1:8" ht="26.25" customHeight="1" x14ac:dyDescent="0.4">
      <c r="A70" s="506" t="s">
        <v>77</v>
      </c>
      <c r="B70" s="507"/>
      <c r="C70" s="513"/>
      <c r="D70" s="517"/>
      <c r="E70" s="274">
        <v>3</v>
      </c>
      <c r="F70" s="372">
        <v>8056722</v>
      </c>
      <c r="G70" s="216">
        <f>IF(ISBLANK(F70),"-",(F70/$D$50*$D$47*$B$68)*($B$57/$D$68))</f>
        <v>478.3874427980474</v>
      </c>
      <c r="H70" s="136">
        <f t="shared" si="0"/>
        <v>0.99664050582926544</v>
      </c>
    </row>
    <row r="71" spans="1:8" ht="27" customHeight="1" thickBot="1" x14ac:dyDescent="0.45">
      <c r="A71" s="508"/>
      <c r="B71" s="509"/>
      <c r="C71" s="515"/>
      <c r="D71" s="518"/>
      <c r="E71" s="275">
        <v>4</v>
      </c>
      <c r="F71" s="378"/>
      <c r="G71" s="217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/>
      <c r="G72" s="266" t="s">
        <v>70</v>
      </c>
      <c r="H72" s="147">
        <f>AVERAGE(H60:H71)</f>
        <v>0.99938097165512874</v>
      </c>
    </row>
    <row r="73" spans="1:8" ht="26.25" customHeight="1" x14ac:dyDescent="0.4">
      <c r="C73" s="144"/>
      <c r="D73" s="144"/>
      <c r="E73" s="144"/>
      <c r="F73" s="148"/>
      <c r="G73" s="263" t="s">
        <v>83</v>
      </c>
      <c r="H73" s="218">
        <f>STDEV(H60:H71)/H72</f>
        <v>1.6482195519535163E-2</v>
      </c>
    </row>
    <row r="74" spans="1:8" ht="27" customHeight="1" x14ac:dyDescent="0.4">
      <c r="A74" s="144"/>
      <c r="B74" s="144"/>
      <c r="C74" s="145"/>
      <c r="D74" s="145"/>
      <c r="E74" s="149"/>
      <c r="F74" s="150"/>
      <c r="G74" s="265" t="s">
        <v>19</v>
      </c>
      <c r="H74" s="151">
        <f>COUNT(H60:H71)</f>
        <v>9</v>
      </c>
    </row>
    <row r="76" spans="1:8" ht="26.25" customHeight="1" x14ac:dyDescent="0.4">
      <c r="A76" s="62" t="s">
        <v>105</v>
      </c>
      <c r="B76" s="152" t="s">
        <v>106</v>
      </c>
      <c r="C76" s="510" t="str">
        <f>C56</f>
        <v xml:space="preserve">Lumefantrine </v>
      </c>
      <c r="D76" s="510"/>
      <c r="E76" s="153" t="s">
        <v>107</v>
      </c>
      <c r="F76" s="153"/>
      <c r="G76" s="154">
        <f>H72</f>
        <v>0.99938097165512874</v>
      </c>
      <c r="H76" s="155"/>
    </row>
    <row r="77" spans="1:8" ht="18.75" x14ac:dyDescent="0.3">
      <c r="A77" s="61" t="s">
        <v>108</v>
      </c>
      <c r="B77" s="61" t="s">
        <v>109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92" t="str">
        <f>B26</f>
        <v xml:space="preserve">Lumefantrine </v>
      </c>
      <c r="C79" s="492"/>
    </row>
    <row r="80" spans="1:8" ht="26.25" customHeight="1" x14ac:dyDescent="0.4">
      <c r="A80" s="63" t="s">
        <v>47</v>
      </c>
      <c r="B80" s="492" t="str">
        <f>B27</f>
        <v>WS/14/046</v>
      </c>
      <c r="C80" s="492"/>
    </row>
    <row r="81" spans="1:12" ht="27" customHeight="1" x14ac:dyDescent="0.4">
      <c r="A81" s="63" t="s">
        <v>6</v>
      </c>
      <c r="B81" s="156">
        <f>B28</f>
        <v>100.2</v>
      </c>
    </row>
    <row r="82" spans="1:12" s="4" customFormat="1" ht="27" customHeight="1" x14ac:dyDescent="0.4">
      <c r="A82" s="63" t="s">
        <v>48</v>
      </c>
      <c r="B82" s="65">
        <v>0</v>
      </c>
      <c r="C82" s="503" t="s">
        <v>49</v>
      </c>
      <c r="D82" s="504"/>
      <c r="E82" s="504"/>
      <c r="F82" s="504"/>
      <c r="G82" s="505"/>
      <c r="I82" s="66"/>
      <c r="J82" s="66"/>
      <c r="K82" s="66"/>
      <c r="L82" s="66"/>
    </row>
    <row r="83" spans="1:12" s="4" customFormat="1" ht="19.5" customHeight="1" x14ac:dyDescent="0.3">
      <c r="A83" s="63" t="s">
        <v>50</v>
      </c>
      <c r="B83" s="67">
        <f>B81-B82</f>
        <v>100.2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4" customFormat="1" ht="27" customHeight="1" x14ac:dyDescent="0.4">
      <c r="A84" s="63" t="s">
        <v>51</v>
      </c>
      <c r="B84" s="70">
        <v>1</v>
      </c>
      <c r="C84" s="489" t="s">
        <v>110</v>
      </c>
      <c r="D84" s="490"/>
      <c r="E84" s="490"/>
      <c r="F84" s="490"/>
      <c r="G84" s="490"/>
      <c r="H84" s="491"/>
      <c r="I84" s="66"/>
      <c r="J84" s="66"/>
      <c r="K84" s="66"/>
      <c r="L84" s="66"/>
    </row>
    <row r="85" spans="1:12" s="4" customFormat="1" ht="27" customHeight="1" x14ac:dyDescent="0.4">
      <c r="A85" s="63" t="s">
        <v>53</v>
      </c>
      <c r="B85" s="70">
        <v>1</v>
      </c>
      <c r="C85" s="489" t="s">
        <v>111</v>
      </c>
      <c r="D85" s="490"/>
      <c r="E85" s="490"/>
      <c r="F85" s="490"/>
      <c r="G85" s="490"/>
      <c r="H85" s="491"/>
      <c r="I85" s="66"/>
      <c r="J85" s="66"/>
      <c r="K85" s="66"/>
      <c r="L85" s="66"/>
    </row>
    <row r="86" spans="1:12" s="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4" customFormat="1" ht="18.75" x14ac:dyDescent="0.3">
      <c r="A87" s="63" t="s">
        <v>55</v>
      </c>
      <c r="B87" s="75">
        <f>B84/B85</f>
        <v>1</v>
      </c>
      <c r="C87" s="53" t="s">
        <v>56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57</v>
      </c>
      <c r="B89" s="77">
        <v>50</v>
      </c>
      <c r="D89" s="157" t="s">
        <v>58</v>
      </c>
      <c r="E89" s="158"/>
      <c r="F89" s="495" t="s">
        <v>59</v>
      </c>
      <c r="G89" s="496"/>
    </row>
    <row r="90" spans="1:12" ht="27" customHeight="1" thickBot="1" x14ac:dyDescent="0.45">
      <c r="A90" s="78" t="s">
        <v>60</v>
      </c>
      <c r="B90" s="79">
        <v>5</v>
      </c>
      <c r="C90" s="159" t="s">
        <v>61</v>
      </c>
      <c r="D90" s="81" t="s">
        <v>62</v>
      </c>
      <c r="E90" s="82" t="s">
        <v>63</v>
      </c>
      <c r="F90" s="81" t="s">
        <v>62</v>
      </c>
      <c r="G90" s="160" t="s">
        <v>63</v>
      </c>
      <c r="I90" s="84" t="s">
        <v>64</v>
      </c>
    </row>
    <row r="91" spans="1:12" ht="26.25" customHeight="1" x14ac:dyDescent="0.4">
      <c r="A91" s="78" t="s">
        <v>65</v>
      </c>
      <c r="B91" s="79">
        <v>100</v>
      </c>
      <c r="C91" s="161">
        <v>1</v>
      </c>
      <c r="D91" s="86">
        <v>0.69330000000000003</v>
      </c>
      <c r="E91" s="87">
        <f>IF(ISBLANK(D91),"-",$D$101/$D$98*D91)</f>
        <v>0.67122021115408637</v>
      </c>
      <c r="F91" s="86">
        <v>0.7298</v>
      </c>
      <c r="G91" s="88">
        <f>IF(ISBLANK(F91),"-",$D$101/$F$98*F91)</f>
        <v>0.66414283894217641</v>
      </c>
      <c r="I91" s="89"/>
    </row>
    <row r="92" spans="1:12" ht="26.25" customHeight="1" x14ac:dyDescent="0.4">
      <c r="A92" s="78" t="s">
        <v>66</v>
      </c>
      <c r="B92" s="79">
        <v>1</v>
      </c>
      <c r="C92" s="145">
        <v>2</v>
      </c>
      <c r="D92" s="91">
        <v>0.69730000000000003</v>
      </c>
      <c r="E92" s="92">
        <f>IF(ISBLANK(D92),"-",$D$101/$D$98*D92)</f>
        <v>0.67509282163240225</v>
      </c>
      <c r="F92" s="91">
        <v>0.72430000000000005</v>
      </c>
      <c r="G92" s="93">
        <f>IF(ISBLANK(F92),"-",$D$101/$F$98*F92)</f>
        <v>0.6591376517481754</v>
      </c>
      <c r="I92" s="525">
        <f>ABS((F96/D96*D95)-F95)/D95</f>
        <v>1.8727963452290424E-2</v>
      </c>
    </row>
    <row r="93" spans="1:12" ht="26.25" customHeight="1" x14ac:dyDescent="0.4">
      <c r="A93" s="78" t="s">
        <v>67</v>
      </c>
      <c r="B93" s="79">
        <v>1</v>
      </c>
      <c r="C93" s="145">
        <v>3</v>
      </c>
      <c r="D93" s="91">
        <v>0.69420000000000004</v>
      </c>
      <c r="E93" s="92">
        <f>IF(ISBLANK(D93),"-",$D$101/$D$98*D93)</f>
        <v>0.67209154851170749</v>
      </c>
      <c r="F93" s="91">
        <v>0.7248</v>
      </c>
      <c r="G93" s="93">
        <f>IF(ISBLANK(F93),"-",$D$101/$F$98*F93)</f>
        <v>0.6595926687658118</v>
      </c>
      <c r="I93" s="525"/>
    </row>
    <row r="94" spans="1:12" ht="27" customHeight="1" thickBot="1" x14ac:dyDescent="0.45">
      <c r="A94" s="78" t="s">
        <v>68</v>
      </c>
      <c r="B94" s="79">
        <v>1</v>
      </c>
      <c r="C94" s="162">
        <v>4</v>
      </c>
      <c r="D94" s="96"/>
      <c r="E94" s="97" t="str">
        <f>IF(ISBLANK(D94),"-",$D$101/$D$98*D94)</f>
        <v>-</v>
      </c>
      <c r="F94" s="163"/>
      <c r="G94" s="98" t="str">
        <f>IF(ISBLANK(F94),"-",$D$101/$F$98*F94)</f>
        <v>-</v>
      </c>
      <c r="I94" s="99"/>
    </row>
    <row r="95" spans="1:12" ht="27" customHeight="1" thickBot="1" x14ac:dyDescent="0.45">
      <c r="A95" s="78" t="s">
        <v>69</v>
      </c>
      <c r="B95" s="79">
        <v>1</v>
      </c>
      <c r="C95" s="164" t="s">
        <v>70</v>
      </c>
      <c r="D95" s="473">
        <f>AVERAGE(D91:D94)</f>
        <v>0.69493333333333329</v>
      </c>
      <c r="E95" s="101">
        <f>AVERAGE(E91:E94)</f>
        <v>0.67280152709939867</v>
      </c>
      <c r="F95" s="474">
        <f>AVERAGE(F91:F94)</f>
        <v>0.72630000000000006</v>
      </c>
      <c r="G95" s="165">
        <f>AVERAGE(G91:G94)</f>
        <v>0.6609577198187212</v>
      </c>
    </row>
    <row r="96" spans="1:12" ht="26.25" customHeight="1" x14ac:dyDescent="0.4">
      <c r="A96" s="78" t="s">
        <v>71</v>
      </c>
      <c r="B96" s="64">
        <v>1</v>
      </c>
      <c r="C96" s="166" t="s">
        <v>112</v>
      </c>
      <c r="D96" s="167">
        <v>24.74</v>
      </c>
      <c r="E96" s="94"/>
      <c r="F96" s="105">
        <v>26.32</v>
      </c>
    </row>
    <row r="97" spans="1:10" ht="26.25" customHeight="1" x14ac:dyDescent="0.4">
      <c r="A97" s="78" t="s">
        <v>73</v>
      </c>
      <c r="B97" s="64">
        <v>1</v>
      </c>
      <c r="C97" s="168" t="s">
        <v>113</v>
      </c>
      <c r="D97" s="169">
        <f>D96*$B$87</f>
        <v>24.74</v>
      </c>
      <c r="E97" s="108"/>
      <c r="F97" s="107">
        <f>F96*$B$87</f>
        <v>26.32</v>
      </c>
    </row>
    <row r="98" spans="1:10" ht="19.5" customHeight="1" x14ac:dyDescent="0.3">
      <c r="A98" s="78" t="s">
        <v>75</v>
      </c>
      <c r="B98" s="170">
        <f>(B97/B96)*(B95/B94)*(B93/B92)*(B91/B90)*B89</f>
        <v>1000</v>
      </c>
      <c r="C98" s="168" t="s">
        <v>114</v>
      </c>
      <c r="D98" s="171">
        <f>D97*$B$83/100</f>
        <v>24.789479999999998</v>
      </c>
      <c r="E98" s="111"/>
      <c r="F98" s="110">
        <f>F97*$B$83/100</f>
        <v>26.372640000000001</v>
      </c>
    </row>
    <row r="99" spans="1:10" ht="19.5" customHeight="1" x14ac:dyDescent="0.3">
      <c r="A99" s="497" t="s">
        <v>77</v>
      </c>
      <c r="B99" s="498"/>
      <c r="C99" s="168" t="s">
        <v>115</v>
      </c>
      <c r="D99" s="172">
        <f>D98/$B$98</f>
        <v>2.4789479999999999E-2</v>
      </c>
      <c r="E99" s="111"/>
      <c r="F99" s="114">
        <f>F98/$B$98</f>
        <v>2.6372639999999999E-2</v>
      </c>
      <c r="G99" s="173"/>
      <c r="H99" s="103"/>
    </row>
    <row r="100" spans="1:10" ht="19.5" customHeight="1" x14ac:dyDescent="0.3">
      <c r="A100" s="499"/>
      <c r="B100" s="500"/>
      <c r="C100" s="168" t="s">
        <v>79</v>
      </c>
      <c r="D100" s="174">
        <f>$B$56/$B$116</f>
        <v>2.4E-2</v>
      </c>
      <c r="F100" s="119"/>
      <c r="G100" s="175"/>
      <c r="H100" s="103"/>
    </row>
    <row r="101" spans="1:10" ht="18.75" x14ac:dyDescent="0.3">
      <c r="C101" s="168" t="s">
        <v>80</v>
      </c>
      <c r="D101" s="169">
        <f>D100*$B$98</f>
        <v>24</v>
      </c>
      <c r="F101" s="119"/>
      <c r="G101" s="173"/>
      <c r="H101" s="103"/>
    </row>
    <row r="102" spans="1:10" ht="19.5" customHeight="1" x14ac:dyDescent="0.3">
      <c r="C102" s="176" t="s">
        <v>81</v>
      </c>
      <c r="D102" s="177">
        <f>D101/B34</f>
        <v>24</v>
      </c>
      <c r="F102" s="123"/>
      <c r="G102" s="173"/>
      <c r="H102" s="103"/>
      <c r="J102" s="178"/>
    </row>
    <row r="103" spans="1:10" ht="18.75" x14ac:dyDescent="0.3">
      <c r="C103" s="179" t="s">
        <v>116</v>
      </c>
      <c r="D103" s="180">
        <f>AVERAGE(E91:E94,G91:G94)</f>
        <v>0.66687962345906004</v>
      </c>
      <c r="F103" s="123"/>
      <c r="G103" s="181"/>
      <c r="H103" s="103"/>
      <c r="J103" s="182"/>
    </row>
    <row r="104" spans="1:10" ht="18.75" x14ac:dyDescent="0.3">
      <c r="C104" s="148" t="s">
        <v>83</v>
      </c>
      <c r="D104" s="183">
        <f>STDEV(E91:E94,G91:G94)/D103</f>
        <v>1.0258067700710903E-2</v>
      </c>
      <c r="F104" s="123"/>
      <c r="G104" s="173"/>
      <c r="H104" s="103"/>
      <c r="J104" s="182"/>
    </row>
    <row r="105" spans="1:10" ht="19.5" customHeight="1" x14ac:dyDescent="0.3">
      <c r="C105" s="150" t="s">
        <v>19</v>
      </c>
      <c r="D105" s="184">
        <f>COUNT(E91:E94,G91:G94)</f>
        <v>6</v>
      </c>
      <c r="F105" s="123"/>
      <c r="G105" s="173"/>
      <c r="H105" s="103"/>
      <c r="J105" s="182"/>
    </row>
    <row r="106" spans="1:10" ht="19.5" customHeight="1" x14ac:dyDescent="0.3">
      <c r="A106" s="127"/>
      <c r="B106" s="127"/>
      <c r="C106" s="127"/>
      <c r="D106" s="127"/>
      <c r="E106" s="127"/>
    </row>
    <row r="107" spans="1:10" ht="26.25" customHeight="1" x14ac:dyDescent="0.4">
      <c r="A107" s="76" t="s">
        <v>117</v>
      </c>
      <c r="B107" s="77">
        <v>1000</v>
      </c>
      <c r="C107" s="185" t="s">
        <v>118</v>
      </c>
      <c r="D107" s="186" t="s">
        <v>62</v>
      </c>
      <c r="E107" s="187" t="s">
        <v>119</v>
      </c>
      <c r="F107" s="188" t="s">
        <v>120</v>
      </c>
    </row>
    <row r="108" spans="1:10" ht="26.25" customHeight="1" x14ac:dyDescent="0.4">
      <c r="A108" s="78" t="s">
        <v>121</v>
      </c>
      <c r="B108" s="79">
        <v>5</v>
      </c>
      <c r="C108" s="189">
        <v>1</v>
      </c>
      <c r="D108" s="400">
        <v>0.54900000000000004</v>
      </c>
      <c r="E108" s="219">
        <f t="shared" ref="E108:E113" si="1">IF(ISBLANK(D108),"-",D108/$D$103*$D$100*$B$116)</f>
        <v>395.15377397968678</v>
      </c>
      <c r="F108" s="190">
        <f t="shared" ref="F108:F113" si="2">IF(ISBLANK(D108), "-", E108/$B$56)</f>
        <v>0.82323702912434749</v>
      </c>
    </row>
    <row r="109" spans="1:10" ht="26.25" customHeight="1" x14ac:dyDescent="0.4">
      <c r="A109" s="78" t="s">
        <v>94</v>
      </c>
      <c r="B109" s="79">
        <v>100</v>
      </c>
      <c r="C109" s="189">
        <v>2</v>
      </c>
      <c r="D109" s="400">
        <v>0.56689999999999996</v>
      </c>
      <c r="E109" s="220">
        <f t="shared" si="1"/>
        <v>408.03765841363276</v>
      </c>
      <c r="F109" s="191">
        <f t="shared" si="2"/>
        <v>0.85007845502840162</v>
      </c>
    </row>
    <row r="110" spans="1:10" ht="26.25" customHeight="1" x14ac:dyDescent="0.4">
      <c r="A110" s="78" t="s">
        <v>95</v>
      </c>
      <c r="B110" s="79">
        <v>1</v>
      </c>
      <c r="C110" s="189">
        <v>3</v>
      </c>
      <c r="D110" s="400">
        <v>0.60329999999999995</v>
      </c>
      <c r="E110" s="220">
        <f t="shared" si="1"/>
        <v>434.23728932959017</v>
      </c>
      <c r="F110" s="191">
        <f t="shared" si="2"/>
        <v>0.90466101943664623</v>
      </c>
    </row>
    <row r="111" spans="1:10" ht="26.25" customHeight="1" x14ac:dyDescent="0.4">
      <c r="A111" s="78" t="s">
        <v>96</v>
      </c>
      <c r="B111" s="79">
        <v>1</v>
      </c>
      <c r="C111" s="189">
        <v>4</v>
      </c>
      <c r="D111" s="400">
        <v>0.56479999999999997</v>
      </c>
      <c r="E111" s="220">
        <f t="shared" si="1"/>
        <v>406.52614124540452</v>
      </c>
      <c r="F111" s="191">
        <f t="shared" si="2"/>
        <v>0.84692946092792609</v>
      </c>
    </row>
    <row r="112" spans="1:10" ht="26.25" customHeight="1" x14ac:dyDescent="0.4">
      <c r="A112" s="78" t="s">
        <v>97</v>
      </c>
      <c r="B112" s="79">
        <v>1</v>
      </c>
      <c r="C112" s="189">
        <v>5</v>
      </c>
      <c r="D112" s="400">
        <v>0.57150000000000001</v>
      </c>
      <c r="E112" s="220">
        <f t="shared" si="1"/>
        <v>411.34860078213291</v>
      </c>
      <c r="F112" s="191">
        <f t="shared" si="2"/>
        <v>0.85697625162944358</v>
      </c>
    </row>
    <row r="113" spans="1:10" ht="26.25" customHeight="1" x14ac:dyDescent="0.4">
      <c r="A113" s="78" t="s">
        <v>99</v>
      </c>
      <c r="B113" s="79">
        <v>1</v>
      </c>
      <c r="C113" s="192">
        <v>6</v>
      </c>
      <c r="D113" s="401">
        <v>0.56159999999999999</v>
      </c>
      <c r="E113" s="221">
        <f t="shared" si="1"/>
        <v>404.22287698905666</v>
      </c>
      <c r="F113" s="193">
        <f t="shared" si="2"/>
        <v>0.84213099372720135</v>
      </c>
    </row>
    <row r="114" spans="1:10" ht="26.25" customHeight="1" x14ac:dyDescent="0.4">
      <c r="A114" s="78" t="s">
        <v>100</v>
      </c>
      <c r="B114" s="79">
        <v>1</v>
      </c>
      <c r="C114" s="189"/>
      <c r="D114" s="145"/>
      <c r="E114" s="52"/>
      <c r="F114" s="194"/>
    </row>
    <row r="115" spans="1:10" ht="26.25" customHeight="1" x14ac:dyDescent="0.4">
      <c r="A115" s="78" t="s">
        <v>101</v>
      </c>
      <c r="B115" s="79">
        <v>1</v>
      </c>
      <c r="C115" s="189"/>
      <c r="D115" s="195" t="s">
        <v>70</v>
      </c>
      <c r="E115" s="223">
        <f>AVERAGE(E108:E113)</f>
        <v>409.92105678991726</v>
      </c>
      <c r="F115" s="196">
        <f>AVERAGE(F108:F113)</f>
        <v>0.8540022016456611</v>
      </c>
    </row>
    <row r="116" spans="1:10" ht="27" customHeight="1" x14ac:dyDescent="0.4">
      <c r="A116" s="78" t="s">
        <v>102</v>
      </c>
      <c r="B116" s="109">
        <f>(B115/B114)*(B113/B112)*(B111/B110)*(B109/B108)*B107</f>
        <v>20000</v>
      </c>
      <c r="C116" s="197"/>
      <c r="D116" s="164" t="s">
        <v>83</v>
      </c>
      <c r="E116" s="198">
        <f>STDEV(E108:E113)/E115</f>
        <v>3.1973785420308896E-2</v>
      </c>
      <c r="F116" s="198">
        <f>STDEV(F108:F113)/F115</f>
        <v>3.1973785420308903E-2</v>
      </c>
      <c r="I116" s="52"/>
    </row>
    <row r="117" spans="1:10" ht="27" customHeight="1" x14ac:dyDescent="0.4">
      <c r="A117" s="497" t="s">
        <v>77</v>
      </c>
      <c r="B117" s="501"/>
      <c r="C117" s="199"/>
      <c r="D117" s="200" t="s">
        <v>19</v>
      </c>
      <c r="E117" s="201">
        <f>COUNT(E108:E113)</f>
        <v>6</v>
      </c>
      <c r="F117" s="201">
        <f>COUNT(F108:F113)</f>
        <v>6</v>
      </c>
      <c r="I117" s="52"/>
      <c r="J117" s="182"/>
    </row>
    <row r="118" spans="1:10" ht="19.5" customHeight="1" x14ac:dyDescent="0.3">
      <c r="A118" s="499"/>
      <c r="B118" s="502"/>
      <c r="C118" s="52"/>
      <c r="D118" s="52"/>
      <c r="E118" s="52"/>
      <c r="F118" s="145"/>
      <c r="G118" s="52"/>
      <c r="H118" s="52"/>
      <c r="I118" s="52"/>
    </row>
    <row r="119" spans="1:10" ht="18.75" x14ac:dyDescent="0.3">
      <c r="A119" s="210"/>
      <c r="B119" s="74"/>
      <c r="C119" s="52"/>
      <c r="D119" s="52"/>
      <c r="E119" s="52"/>
      <c r="F119" s="145"/>
      <c r="G119" s="52"/>
      <c r="H119" s="52"/>
      <c r="I119" s="52"/>
    </row>
    <row r="120" spans="1:10" ht="26.25" customHeight="1" x14ac:dyDescent="0.4">
      <c r="A120" s="62" t="s">
        <v>105</v>
      </c>
      <c r="B120" s="152" t="s">
        <v>122</v>
      </c>
      <c r="C120" s="510" t="str">
        <f>C76</f>
        <v xml:space="preserve">Lumefantrine </v>
      </c>
      <c r="D120" s="510"/>
      <c r="E120" s="153" t="s">
        <v>123</v>
      </c>
      <c r="F120" s="153"/>
      <c r="G120" s="154">
        <f>F115</f>
        <v>0.8540022016456611</v>
      </c>
      <c r="H120" s="52"/>
      <c r="I120" s="52"/>
    </row>
    <row r="121" spans="1:10" ht="19.5" customHeight="1" x14ac:dyDescent="0.3">
      <c r="A121" s="202"/>
      <c r="B121" s="202"/>
      <c r="C121" s="203"/>
      <c r="D121" s="203"/>
      <c r="E121" s="203"/>
      <c r="F121" s="203"/>
      <c r="G121" s="203"/>
      <c r="H121" s="203"/>
    </row>
    <row r="122" spans="1:10" ht="18.75" x14ac:dyDescent="0.3">
      <c r="B122" s="511" t="s">
        <v>25</v>
      </c>
      <c r="C122" s="511"/>
      <c r="E122" s="159" t="s">
        <v>26</v>
      </c>
      <c r="F122" s="204"/>
      <c r="G122" s="511" t="s">
        <v>27</v>
      </c>
      <c r="H122" s="511"/>
    </row>
    <row r="123" spans="1:10" ht="53.25" customHeight="1" x14ac:dyDescent="0.3">
      <c r="A123" s="205" t="s">
        <v>28</v>
      </c>
      <c r="B123" s="206"/>
      <c r="C123" s="206" t="s">
        <v>141</v>
      </c>
      <c r="E123" s="206" t="s">
        <v>142</v>
      </c>
      <c r="F123" s="52"/>
      <c r="G123" s="207"/>
      <c r="H123" s="207"/>
    </row>
    <row r="124" spans="1:10" ht="47.25" customHeight="1" x14ac:dyDescent="0.3">
      <c r="A124" s="205" t="s">
        <v>29</v>
      </c>
      <c r="B124" s="208"/>
      <c r="C124" s="208"/>
      <c r="E124" s="208"/>
      <c r="F124" s="52"/>
      <c r="G124" s="209"/>
      <c r="H124" s="209"/>
    </row>
    <row r="125" spans="1:10" ht="18.75" x14ac:dyDescent="0.3">
      <c r="A125" s="144"/>
      <c r="B125" s="144"/>
      <c r="C125" s="145"/>
      <c r="D125" s="145"/>
      <c r="E125" s="145"/>
      <c r="F125" s="149"/>
      <c r="G125" s="145"/>
      <c r="H125" s="145"/>
      <c r="I125" s="52"/>
    </row>
    <row r="126" spans="1:10" ht="18.75" x14ac:dyDescent="0.3">
      <c r="A126" s="144"/>
      <c r="B126" s="144"/>
      <c r="C126" s="145"/>
      <c r="D126" s="145"/>
      <c r="E126" s="145"/>
      <c r="F126" s="149"/>
      <c r="G126" s="145"/>
      <c r="H126" s="145"/>
      <c r="I126" s="52"/>
    </row>
    <row r="127" spans="1:10" ht="18.75" x14ac:dyDescent="0.3">
      <c r="A127" s="144"/>
      <c r="B127" s="144"/>
      <c r="C127" s="145"/>
      <c r="D127" s="145"/>
      <c r="E127" s="145"/>
      <c r="F127" s="149"/>
      <c r="G127" s="145"/>
      <c r="H127" s="145"/>
      <c r="I127" s="52"/>
    </row>
    <row r="128" spans="1:10" ht="18.75" x14ac:dyDescent="0.3">
      <c r="A128" s="144"/>
      <c r="B128" s="144"/>
      <c r="C128" s="145"/>
      <c r="D128" s="145"/>
      <c r="E128" s="145"/>
      <c r="F128" s="149"/>
      <c r="G128" s="145"/>
      <c r="H128" s="145"/>
      <c r="I128" s="52"/>
    </row>
    <row r="129" spans="1:9" ht="18.75" x14ac:dyDescent="0.3">
      <c r="A129" s="144"/>
      <c r="B129" s="144"/>
      <c r="C129" s="145"/>
      <c r="D129" s="145"/>
      <c r="E129" s="145"/>
      <c r="F129" s="149"/>
      <c r="G129" s="145"/>
      <c r="H129" s="145"/>
      <c r="I129" s="52"/>
    </row>
    <row r="130" spans="1:9" ht="18.75" x14ac:dyDescent="0.3">
      <c r="A130" s="144"/>
      <c r="B130" s="144"/>
      <c r="C130" s="145"/>
      <c r="D130" s="145"/>
      <c r="E130" s="145"/>
      <c r="F130" s="149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9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9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9"/>
      <c r="G133" s="145"/>
      <c r="H133" s="145"/>
      <c r="I133" s="5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</vt:lpstr>
      <vt:lpstr>Uniformity</vt:lpstr>
      <vt:lpstr>ARTEMETHER</vt:lpstr>
      <vt:lpstr>ARTEMETHER  (Diss Rpt) </vt:lpstr>
      <vt:lpstr>LUMEFANTRINE</vt:lpstr>
      <vt:lpstr>ARTEMETHER!Print_Area</vt:lpstr>
      <vt:lpstr>'ARTEMETHER  (Diss Rpt) '!Print_Area</vt:lpstr>
      <vt:lpstr>LUMEFANTRINE!Print_Area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2015-12-22T08:20:25Z</cp:lastPrinted>
  <dcterms:created xsi:type="dcterms:W3CDTF">2005-07-05T10:19:27Z</dcterms:created>
  <dcterms:modified xsi:type="dcterms:W3CDTF">2015-12-23T09:12:10Z</dcterms:modified>
  <cp:category/>
</cp:coreProperties>
</file>