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9" r:id="rId1"/>
    <sheet name="Uniformity" sheetId="3" r:id="rId2"/>
    <sheet name="ARTEMETHER " sheetId="7" r:id="rId3"/>
    <sheet name="LUMEFANTRINE" sheetId="5" r:id="rId4"/>
  </sheets>
  <definedNames>
    <definedName name="_xlnm.Print_Area" localSheetId="2">'ARTEMETHER '!$A$1:$H$142</definedName>
    <definedName name="_xlnm.Print_Area" localSheetId="3">LUMEFANTRINE!$A$1:$N$127</definedName>
    <definedName name="_xlnm.Print_Area" localSheetId="0">SST!$A$1:$E$71</definedName>
    <definedName name="_xlnm.Print_Area" localSheetId="1">Uniformity!$A$1:$G$60</definedName>
  </definedNames>
  <calcPr calcId="144525"/>
</workbook>
</file>

<file path=xl/calcChain.xml><?xml version="1.0" encoding="utf-8"?>
<calcChain xmlns="http://schemas.openxmlformats.org/spreadsheetml/2006/main">
  <c r="F103" i="7" l="1"/>
  <c r="F102" i="7"/>
  <c r="B53" i="9" l="1"/>
  <c r="B52" i="9"/>
  <c r="B51" i="9"/>
  <c r="B50" i="9"/>
  <c r="B30" i="9"/>
  <c r="B31" i="9" s="1"/>
  <c r="B29" i="9"/>
  <c r="B28" i="9"/>
  <c r="B9" i="9"/>
  <c r="B10" i="9" s="1"/>
  <c r="B8" i="9"/>
  <c r="B7" i="9"/>
  <c r="B6" i="9"/>
  <c r="B49" i="9" s="1"/>
  <c r="B64" i="9"/>
  <c r="E62" i="9"/>
  <c r="D62" i="9"/>
  <c r="C62" i="9"/>
  <c r="B62" i="9"/>
  <c r="B63" i="9" s="1"/>
  <c r="B42" i="9"/>
  <c r="E40" i="9"/>
  <c r="D40" i="9"/>
  <c r="B40" i="9"/>
  <c r="B41" i="9" s="1"/>
  <c r="B21" i="9"/>
  <c r="E19" i="9"/>
  <c r="D19" i="9"/>
  <c r="C19" i="9"/>
  <c r="B19" i="9"/>
  <c r="B20" i="9" s="1"/>
  <c r="B23" i="5" l="1"/>
  <c r="B22" i="5"/>
  <c r="C19" i="3"/>
  <c r="C18" i="3"/>
  <c r="F42" i="7"/>
  <c r="D42" i="7"/>
  <c r="F96" i="7" l="1"/>
  <c r="D96" i="7"/>
  <c r="G95" i="7"/>
  <c r="E95" i="7"/>
  <c r="F42" i="5" l="1"/>
  <c r="D42" i="5"/>
  <c r="B68" i="5"/>
  <c r="G63" i="5" l="1"/>
  <c r="H63" i="5" s="1"/>
  <c r="G71" i="5"/>
  <c r="H71" i="5" s="1"/>
  <c r="G67" i="5"/>
  <c r="H67" i="5" s="1"/>
  <c r="C138" i="7" l="1"/>
  <c r="B134" i="7"/>
  <c r="C121" i="7"/>
  <c r="B117" i="7"/>
  <c r="D101" i="7"/>
  <c r="B99" i="7"/>
  <c r="B88" i="7"/>
  <c r="D98" i="7" s="1"/>
  <c r="B83" i="7"/>
  <c r="B82" i="7"/>
  <c r="B84" i="7" s="1"/>
  <c r="B81" i="7"/>
  <c r="B80" i="7"/>
  <c r="C76" i="7"/>
  <c r="H71" i="7"/>
  <c r="G71" i="7"/>
  <c r="B68" i="7"/>
  <c r="H67" i="7"/>
  <c r="G67" i="7"/>
  <c r="H63" i="7"/>
  <c r="G63" i="7"/>
  <c r="C56" i="7"/>
  <c r="B55" i="7"/>
  <c r="D48" i="7"/>
  <c r="B45" i="7"/>
  <c r="B34" i="7"/>
  <c r="B30" i="7"/>
  <c r="C120" i="5"/>
  <c r="B116" i="5"/>
  <c r="D100" i="5" s="1"/>
  <c r="B98" i="5"/>
  <c r="F95" i="5"/>
  <c r="D95" i="5"/>
  <c r="B87" i="5"/>
  <c r="B81" i="5"/>
  <c r="B83" i="5" s="1"/>
  <c r="B80" i="5"/>
  <c r="B79" i="5"/>
  <c r="C76" i="5"/>
  <c r="C56" i="5"/>
  <c r="B55" i="5"/>
  <c r="B45" i="5"/>
  <c r="D48" i="5" s="1"/>
  <c r="I39" i="5"/>
  <c r="B34" i="5"/>
  <c r="D44" i="5" s="1"/>
  <c r="B30" i="5"/>
  <c r="D49" i="3"/>
  <c r="C46" i="3"/>
  <c r="C45" i="3"/>
  <c r="D41" i="3"/>
  <c r="D40" i="3"/>
  <c r="D37" i="3"/>
  <c r="D36" i="3"/>
  <c r="D33" i="3"/>
  <c r="D32" i="3"/>
  <c r="D29" i="3"/>
  <c r="D28" i="3"/>
  <c r="D25" i="3"/>
  <c r="D24" i="3"/>
  <c r="F97" i="5" l="1"/>
  <c r="D97" i="5"/>
  <c r="D49" i="7"/>
  <c r="D101" i="5"/>
  <c r="D45" i="5"/>
  <c r="I92" i="5"/>
  <c r="D102" i="7"/>
  <c r="D99" i="7"/>
  <c r="D49" i="5"/>
  <c r="B57" i="7"/>
  <c r="C50" i="3"/>
  <c r="F98" i="5"/>
  <c r="B69" i="7"/>
  <c r="D26" i="3"/>
  <c r="D30" i="3"/>
  <c r="D34" i="3"/>
  <c r="D38" i="3"/>
  <c r="D42" i="3"/>
  <c r="B49" i="3"/>
  <c r="D50" i="3"/>
  <c r="B57" i="5"/>
  <c r="B69" i="5" s="1"/>
  <c r="D98" i="5"/>
  <c r="D27" i="3"/>
  <c r="D31" i="3"/>
  <c r="D35" i="3"/>
  <c r="D39" i="3"/>
  <c r="D43" i="3"/>
  <c r="C49" i="3"/>
  <c r="F44" i="5"/>
  <c r="F45" i="5" s="1"/>
  <c r="F44" i="7"/>
  <c r="F45" i="7" s="1"/>
  <c r="F98" i="7"/>
  <c r="F99" i="7" s="1"/>
  <c r="E94" i="5"/>
  <c r="D44" i="7"/>
  <c r="D45" i="7" s="1"/>
  <c r="E91" i="5" l="1"/>
  <c r="E40" i="7"/>
  <c r="E38" i="7"/>
  <c r="E41" i="7"/>
  <c r="E39" i="7"/>
  <c r="G40" i="7"/>
  <c r="G38" i="7"/>
  <c r="G41" i="7"/>
  <c r="G39" i="7"/>
  <c r="D102" i="5"/>
  <c r="G94" i="5"/>
  <c r="G91" i="5"/>
  <c r="E93" i="7"/>
  <c r="E94" i="7"/>
  <c r="E92" i="7"/>
  <c r="D100" i="7"/>
  <c r="G94" i="7"/>
  <c r="G92" i="7"/>
  <c r="G96" i="7" s="1"/>
  <c r="G93" i="7"/>
  <c r="G41" i="5"/>
  <c r="G39" i="5"/>
  <c r="G40" i="5"/>
  <c r="G38" i="5"/>
  <c r="E40" i="5"/>
  <c r="E38" i="5"/>
  <c r="E41" i="5"/>
  <c r="E39" i="5"/>
  <c r="F46" i="5"/>
  <c r="D46" i="5"/>
  <c r="E92" i="5"/>
  <c r="D103" i="7"/>
  <c r="F100" i="7"/>
  <c r="D99" i="5"/>
  <c r="E93" i="5"/>
  <c r="D46" i="7"/>
  <c r="G92" i="5"/>
  <c r="G93" i="5"/>
  <c r="F46" i="7"/>
  <c r="F99" i="5"/>
  <c r="G42" i="7" l="1"/>
  <c r="E42" i="7"/>
  <c r="E96" i="7"/>
  <c r="E42" i="5"/>
  <c r="G42" i="5"/>
  <c r="E95" i="5"/>
  <c r="D52" i="5"/>
  <c r="D103" i="5"/>
  <c r="D104" i="5" s="1"/>
  <c r="D50" i="5"/>
  <c r="D51" i="5" s="1"/>
  <c r="G95" i="5"/>
  <c r="D104" i="7"/>
  <c r="E128" i="7" s="1"/>
  <c r="F128" i="7" s="1"/>
  <c r="D106" i="7"/>
  <c r="D105" i="5"/>
  <c r="D52" i="7"/>
  <c r="D50" i="7"/>
  <c r="D105" i="7" l="1"/>
  <c r="G69" i="5"/>
  <c r="H69" i="5" s="1"/>
  <c r="G62" i="5"/>
  <c r="H62" i="5" s="1"/>
  <c r="G60" i="5"/>
  <c r="H60" i="5" s="1"/>
  <c r="G68" i="5"/>
  <c r="H68" i="5" s="1"/>
  <c r="G70" i="5"/>
  <c r="H70" i="5" s="1"/>
  <c r="G66" i="5"/>
  <c r="H66" i="5" s="1"/>
  <c r="G61" i="5"/>
  <c r="H61" i="5" s="1"/>
  <c r="G65" i="5"/>
  <c r="H65" i="5" s="1"/>
  <c r="G64" i="5"/>
  <c r="H64" i="5" s="1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 s="1"/>
  <c r="E129" i="7"/>
  <c r="F129" i="7" s="1"/>
  <c r="E113" i="7"/>
  <c r="F113" i="7" s="1"/>
  <c r="E130" i="7"/>
  <c r="F130" i="7" s="1"/>
  <c r="E111" i="7"/>
  <c r="F111" i="7" s="1"/>
  <c r="E112" i="7"/>
  <c r="F112" i="7" s="1"/>
  <c r="E114" i="7"/>
  <c r="F114" i="7" s="1"/>
  <c r="E109" i="7"/>
  <c r="F109" i="7" s="1"/>
  <c r="E131" i="7"/>
  <c r="F131" i="7" s="1"/>
  <c r="E126" i="7"/>
  <c r="F126" i="7" s="1"/>
  <c r="E127" i="7"/>
  <c r="F127" i="7" s="1"/>
  <c r="E110" i="7"/>
  <c r="F110" i="7" s="1"/>
  <c r="G68" i="7"/>
  <c r="H68" i="7" s="1"/>
  <c r="G69" i="7"/>
  <c r="H69" i="7" s="1"/>
  <c r="G66" i="7"/>
  <c r="H66" i="7" s="1"/>
  <c r="G64" i="7"/>
  <c r="H64" i="7" s="1"/>
  <c r="G62" i="7"/>
  <c r="H62" i="7" s="1"/>
  <c r="G60" i="7"/>
  <c r="H60" i="7" s="1"/>
  <c r="D51" i="7"/>
  <c r="G70" i="7"/>
  <c r="H70" i="7" s="1"/>
  <c r="G65" i="7"/>
  <c r="H65" i="7" s="1"/>
  <c r="G61" i="7"/>
  <c r="H61" i="7" s="1"/>
  <c r="G74" i="5" l="1"/>
  <c r="G72" i="5"/>
  <c r="G73" i="5" s="1"/>
  <c r="E117" i="5"/>
  <c r="E115" i="5"/>
  <c r="E116" i="5" s="1"/>
  <c r="F116" i="7"/>
  <c r="G121" i="7" s="1"/>
  <c r="F133" i="7"/>
  <c r="G138" i="7" s="1"/>
  <c r="F118" i="7"/>
  <c r="F135" i="7"/>
  <c r="H74" i="5"/>
  <c r="H72" i="5"/>
  <c r="F117" i="5"/>
  <c r="F115" i="5"/>
  <c r="H74" i="7"/>
  <c r="H72" i="7"/>
  <c r="F117" i="7" l="1"/>
  <c r="F134" i="7"/>
  <c r="G120" i="5"/>
  <c r="F116" i="5"/>
  <c r="H73" i="7"/>
  <c r="G76" i="7"/>
  <c r="G76" i="5"/>
  <c r="H73" i="5"/>
</calcChain>
</file>

<file path=xl/sharedStrings.xml><?xml version="1.0" encoding="utf-8"?>
<sst xmlns="http://schemas.openxmlformats.org/spreadsheetml/2006/main" count="434" uniqueCount="158">
  <si>
    <t>HPLC System Suitability Report</t>
  </si>
  <si>
    <t>Analysis Data</t>
  </si>
  <si>
    <t>Assay</t>
  </si>
  <si>
    <t>Sample(s)</t>
  </si>
  <si>
    <t>Reference Substance:</t>
  </si>
  <si>
    <t>LONART Dispersible</t>
  </si>
  <si>
    <t>% age Purity:</t>
  </si>
  <si>
    <t>NDQD201508185</t>
  </si>
  <si>
    <t>Weight (mg):</t>
  </si>
  <si>
    <t>Artemether 20mg, Lumefantrine 120mg</t>
  </si>
  <si>
    <t>Standard Conc (mg/mL):</t>
  </si>
  <si>
    <t>Each dispersible tablet contains Artemether 20mg and Lumefantrine 120mg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</si>
  <si>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</si>
  <si>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</si>
  <si>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</si>
  <si>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</si>
  <si>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</si>
  <si>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</si>
  <si>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</si>
  <si>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</si>
  <si>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</si>
  <si>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</si>
  <si>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</si>
  <si>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</si>
  <si>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</si>
  <si>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</si>
  <si>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</si>
  <si>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</si>
  <si>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</si>
  <si>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</si>
  <si>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</si>
  <si>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</si>
  <si>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</si>
  <si>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</si>
  <si>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</si>
  <si>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</si>
  <si>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</si>
  <si>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</si>
  <si>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</si>
  <si>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</si>
  <si>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</si>
  <si>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</si>
  <si>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</si>
  <si>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</si>
  <si>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</si>
  <si>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</si>
  <si>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</si>
  <si>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</si>
  <si>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</si>
  <si>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</si>
  <si>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</si>
  <si>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</si>
  <si>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</si>
  <si>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</si>
  <si>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</si>
  <si>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</si>
  <si>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</si>
  <si>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</si>
  <si>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</si>
  <si>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</si>
  <si>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</si>
  <si>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</si>
  <si>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</si>
  <si>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</si>
  <si>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</si>
  <si>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</si>
  <si>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</si>
  <si>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</si>
  <si>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</si>
  <si>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</si>
  <si>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</si>
  <si>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</si>
  <si>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</si>
  <si>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</si>
  <si>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</si>
  <si>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</si>
  <si>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</si>
  <si>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</si>
  <si>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</si>
  <si>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</si>
  <si>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</si>
  <si>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</si>
  <si>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</si>
  <si>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</si>
  <si>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</si>
  <si>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</si>
  <si>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</si>
  <si>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</si>
  <si>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</si>
  <si>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</si>
  <si>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</si>
  <si>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</si>
  <si>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</si>
  <si>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</si>
  <si>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</si>
  <si>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</si>
  <si>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</si>
  <si>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</si>
  <si>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</si>
  <si>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</si>
  <si>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</si>
  <si>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</si>
  <si>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</si>
  <si>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</si>
  <si>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</si>
  <si>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</si>
  <si>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</si>
  <si>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</si>
  <si>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</si>
  <si>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</si>
  <si>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</si>
  <si>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</si>
  <si>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</si>
  <si>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</si>
  <si>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</si>
  <si>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</si>
  <si>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</si>
  <si>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</si>
  <si>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</si>
  <si>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</si>
  <si>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</si>
  <si>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F0J018</t>
  </si>
  <si>
    <t>Initial    Standard dilution</t>
  </si>
  <si>
    <t>Inj</t>
  </si>
  <si>
    <t>Desired Concetration (mg/mL):</t>
  </si>
  <si>
    <t>Initial    Sample dilution</t>
  </si>
  <si>
    <t>Comment</t>
  </si>
  <si>
    <t>Analysis Data:</t>
  </si>
  <si>
    <t>Determination of Active Ingredient Dissolved after</t>
  </si>
  <si>
    <t>1hr</t>
  </si>
  <si>
    <t>tablet No.</t>
  </si>
  <si>
    <t>3hrs</t>
  </si>
  <si>
    <t>ARTEMETHER</t>
  </si>
  <si>
    <t xml:space="preserve">Lumefantrine </t>
  </si>
  <si>
    <t>WS/14/046</t>
  </si>
  <si>
    <t>29th Oct 2015</t>
  </si>
  <si>
    <t>4th  Dec 2015</t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</si>
  <si>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</si>
  <si>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</si>
  <si>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</si>
  <si>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</si>
  <si>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</si>
  <si>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</si>
  <si>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</si>
  <si>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</si>
  <si>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</si>
  <si>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</si>
  <si>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</si>
  <si>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</si>
  <si>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</si>
  <si>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</si>
  <si>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</si>
  <si>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</si>
  <si>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</si>
  <si>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</si>
  <si>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</si>
  <si>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Joyfrida</t>
  </si>
  <si>
    <t>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</si>
</sst>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i/>
      <sz val="1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6"/>
      <color rgb="FF000000"/>
      <name val="Book Antiqua"/>
      <family val="1"/>
    </font>
    <font>
      <b/>
      <sz val="11"/>
      <color rgb="FF000000"/>
      <name val="Book Antiqua"/>
      <family val="1"/>
    </font>
    <font>
      <b/>
      <sz val="12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rgb="FF000000"/>
      <name val="Arial"/>
      <family val="2"/>
    </font>
    <font>
      <b/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47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4" fillId="2" borderId="0" xfId="0" applyFont="1" applyFill="1" applyAlignment="1">
      <alignment horizontal="left"/>
    </xf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/>
    <xf numFmtId="0" fontId="5" fillId="2" borderId="0" xfId="0" applyFont="1" applyFill="1"/>
    <xf numFmtId="2" fontId="5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0" fontId="4" fillId="2" borderId="0" xfId="0" applyFont="1" applyFill="1"/>
    <xf numFmtId="0" fontId="7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71" fontId="9" fillId="6" borderId="3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 applyProtection="1">
      <alignment horizontal="right"/>
      <protection locked="0"/>
    </xf>
    <xf numFmtId="0" fontId="3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1" fontId="9" fillId="6" borderId="37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13" xfId="0" applyFont="1" applyFill="1" applyBorder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/>
    <xf numFmtId="0" fontId="9" fillId="2" borderId="22" xfId="0" applyFont="1" applyFill="1" applyBorder="1" applyAlignment="1">
      <alignment horizontal="center" wrapText="1"/>
    </xf>
    <xf numFmtId="171" fontId="9" fillId="2" borderId="0" xfId="0" applyNumberFormat="1" applyFont="1" applyFill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171" fontId="8" fillId="2" borderId="26" xfId="0" applyNumberFormat="1" applyFont="1" applyFill="1" applyBorder="1" applyAlignment="1">
      <alignment horizontal="center"/>
    </xf>
    <xf numFmtId="171" fontId="8" fillId="2" borderId="31" xfId="0" applyNumberFormat="1" applyFont="1" applyFill="1" applyBorder="1" applyAlignment="1">
      <alignment horizontal="center"/>
    </xf>
    <xf numFmtId="171" fontId="8" fillId="2" borderId="35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1" fontId="9" fillId="6" borderId="15" xfId="0" applyNumberFormat="1" applyFont="1" applyFill="1" applyBorder="1" applyAlignment="1">
      <alignment horizontal="center"/>
    </xf>
    <xf numFmtId="0" fontId="9" fillId="2" borderId="11" xfId="0" applyFont="1" applyFill="1" applyBorder="1"/>
    <xf numFmtId="0" fontId="9" fillId="2" borderId="0" xfId="0" applyFont="1" applyFill="1" applyAlignment="1">
      <alignment horizontal="right"/>
    </xf>
    <xf numFmtId="0" fontId="2" fillId="2" borderId="0" xfId="0" applyFont="1" applyFill="1"/>
    <xf numFmtId="0" fontId="9" fillId="2" borderId="24" xfId="0" applyFont="1" applyFill="1" applyBorder="1" applyAlignment="1">
      <alignment horizontal="center"/>
    </xf>
    <xf numFmtId="171" fontId="9" fillId="7" borderId="16" xfId="0" applyNumberFormat="1" applyFont="1" applyFill="1" applyBorder="1" applyAlignment="1">
      <alignment horizontal="center"/>
    </xf>
    <xf numFmtId="1" fontId="9" fillId="6" borderId="49" xfId="0" applyNumberFormat="1" applyFont="1" applyFill="1" applyBorder="1" applyAlignment="1">
      <alignment horizontal="center"/>
    </xf>
    <xf numFmtId="0" fontId="9" fillId="2" borderId="11" xfId="0" applyFont="1" applyFill="1" applyBorder="1" applyProtection="1">
      <protection locked="0"/>
    </xf>
    <xf numFmtId="0" fontId="8" fillId="2" borderId="0" xfId="0" applyFont="1" applyFill="1"/>
    <xf numFmtId="165" fontId="9" fillId="2" borderId="0" xfId="0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2" fontId="10" fillId="3" borderId="0" xfId="0" applyNumberFormat="1" applyFont="1" applyFill="1" applyAlignment="1" applyProtection="1">
      <alignment horizontal="center"/>
      <protection locked="0"/>
    </xf>
    <xf numFmtId="0" fontId="10" fillId="3" borderId="22" xfId="0" applyFont="1" applyFill="1" applyBorder="1" applyAlignment="1" applyProtection="1">
      <alignment horizontal="center"/>
      <protection locked="0"/>
    </xf>
    <xf numFmtId="0" fontId="10" fillId="3" borderId="24" xfId="0" applyFont="1" applyFill="1" applyBorder="1" applyAlignment="1" applyProtection="1">
      <alignment horizontal="center"/>
      <protection locked="0"/>
    </xf>
    <xf numFmtId="0" fontId="10" fillId="3" borderId="29" xfId="0" applyFont="1" applyFill="1" applyBorder="1" applyAlignment="1" applyProtection="1">
      <alignment horizontal="center"/>
      <protection locked="0"/>
    </xf>
    <xf numFmtId="0" fontId="10" fillId="3" borderId="23" xfId="0" applyFont="1" applyFill="1" applyBorder="1" applyAlignment="1" applyProtection="1">
      <alignment horizontal="center"/>
      <protection locked="0"/>
    </xf>
    <xf numFmtId="0" fontId="10" fillId="3" borderId="34" xfId="0" applyFont="1" applyFill="1" applyBorder="1" applyAlignment="1" applyProtection="1">
      <alignment horizontal="center"/>
      <protection locked="0"/>
    </xf>
    <xf numFmtId="0" fontId="10" fillId="3" borderId="16" xfId="0" applyFont="1" applyFill="1" applyBorder="1" applyAlignment="1" applyProtection="1">
      <alignment horizontal="center"/>
      <protection locked="0"/>
    </xf>
    <xf numFmtId="0" fontId="10" fillId="3" borderId="27" xfId="0" applyFont="1" applyFill="1" applyBorder="1" applyAlignment="1" applyProtection="1">
      <alignment horizontal="center"/>
      <protection locked="0"/>
    </xf>
    <xf numFmtId="0" fontId="10" fillId="3" borderId="21" xfId="0" applyFont="1" applyFill="1" applyBorder="1" applyAlignment="1" applyProtection="1">
      <alignment horizontal="center"/>
      <protection locked="0"/>
    </xf>
    <xf numFmtId="0" fontId="10" fillId="3" borderId="43" xfId="0" applyFont="1" applyFill="1" applyBorder="1" applyAlignment="1" applyProtection="1">
      <alignment horizontal="center"/>
      <protection locked="0"/>
    </xf>
    <xf numFmtId="10" fontId="10" fillId="7" borderId="33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10" fontId="10" fillId="7" borderId="27" xfId="0" applyNumberFormat="1" applyFont="1" applyFill="1" applyBorder="1" applyAlignment="1">
      <alignment horizontal="center"/>
    </xf>
    <xf numFmtId="10" fontId="10" fillId="6" borderId="27" xfId="0" applyNumberFormat="1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165" fontId="10" fillId="2" borderId="0" xfId="0" applyNumberFormat="1" applyFont="1" applyFill="1" applyAlignment="1">
      <alignment horizontal="center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10" fillId="3" borderId="31" xfId="0" applyNumberFormat="1" applyFont="1" applyFill="1" applyBorder="1" applyAlignment="1" applyProtection="1">
      <alignment horizontal="center"/>
      <protection locked="0"/>
    </xf>
    <xf numFmtId="166" fontId="10" fillId="3" borderId="35" xfId="0" applyNumberFormat="1" applyFont="1" applyFill="1" applyBorder="1" applyAlignment="1" applyProtection="1">
      <alignment horizontal="center"/>
      <protection locked="0"/>
    </xf>
    <xf numFmtId="0" fontId="24" fillId="3" borderId="3" xfId="0" applyFont="1" applyFill="1" applyBorder="1" applyAlignment="1" applyProtection="1">
      <alignment horizontal="center"/>
      <protection locked="0"/>
    </xf>
    <xf numFmtId="0" fontId="10" fillId="3" borderId="3" xfId="0" applyFont="1" applyFill="1" applyBorder="1" applyAlignment="1" applyProtection="1">
      <alignment horizontal="center"/>
      <protection locked="0"/>
    </xf>
    <xf numFmtId="2" fontId="10" fillId="3" borderId="52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6" fillId="2" borderId="0" xfId="0" applyFont="1" applyFill="1"/>
    <xf numFmtId="0" fontId="5" fillId="2" borderId="7" xfId="0" applyFont="1" applyFill="1" applyBorder="1"/>
    <xf numFmtId="0" fontId="1" fillId="2" borderId="0" xfId="0" applyFont="1" applyFill="1" applyAlignment="1">
      <alignment horizontal="center"/>
    </xf>
    <xf numFmtId="167" fontId="5" fillId="2" borderId="0" xfId="0" applyNumberFormat="1" applyFont="1" applyFill="1" applyAlignment="1">
      <alignment horizontal="center"/>
    </xf>
    <xf numFmtId="167" fontId="5" fillId="2" borderId="0" xfId="0" applyNumberFormat="1" applyFont="1" applyFill="1"/>
    <xf numFmtId="0" fontId="26" fillId="2" borderId="0" xfId="0" applyFont="1" applyFill="1"/>
    <xf numFmtId="2" fontId="5" fillId="3" borderId="14" xfId="0" applyNumberFormat="1" applyFont="1" applyFill="1" applyBorder="1" applyProtection="1">
      <protection locked="0"/>
    </xf>
    <xf numFmtId="10" fontId="5" fillId="2" borderId="13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2" fontId="5" fillId="3" borderId="15" xfId="0" applyNumberFormat="1" applyFont="1" applyFill="1" applyBorder="1" applyProtection="1">
      <protection locked="0"/>
    </xf>
    <xf numFmtId="10" fontId="5" fillId="2" borderId="15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6" fontId="5" fillId="2" borderId="0" xfId="0" applyNumberFormat="1" applyFont="1" applyFill="1" applyAlignment="1">
      <alignment horizontal="center"/>
    </xf>
    <xf numFmtId="10" fontId="1" fillId="2" borderId="0" xfId="0" applyNumberFormat="1" applyFont="1" applyFill="1"/>
    <xf numFmtId="0" fontId="5" fillId="2" borderId="9" xfId="0" applyFont="1" applyFill="1" applyBorder="1"/>
    <xf numFmtId="10" fontId="5" fillId="2" borderId="9" xfId="0" applyNumberFormat="1" applyFont="1" applyFill="1" applyBorder="1"/>
    <xf numFmtId="0" fontId="10" fillId="2" borderId="0" xfId="0" applyFont="1" applyFill="1"/>
    <xf numFmtId="169" fontId="24" fillId="3" borderId="0" xfId="0" applyNumberFormat="1" applyFont="1" applyFill="1" applyAlignment="1" applyProtection="1">
      <alignment horizontal="left"/>
      <protection locked="0"/>
    </xf>
    <xf numFmtId="169" fontId="9" fillId="2" borderId="0" xfId="0" applyNumberFormat="1" applyFont="1" applyFill="1" applyAlignment="1">
      <alignment horizontal="left"/>
    </xf>
    <xf numFmtId="0" fontId="27" fillId="2" borderId="0" xfId="0" applyFont="1" applyFill="1"/>
    <xf numFmtId="0" fontId="16" fillId="2" borderId="0" xfId="0" applyFont="1" applyFill="1"/>
    <xf numFmtId="0" fontId="28" fillId="2" borderId="0" xfId="0" applyFont="1" applyFill="1"/>
    <xf numFmtId="0" fontId="9" fillId="2" borderId="21" xfId="0" applyFont="1" applyFill="1" applyBorder="1" applyAlignment="1">
      <alignment horizontal="right"/>
    </xf>
    <xf numFmtId="0" fontId="9" fillId="2" borderId="23" xfId="0" applyFont="1" applyFill="1" applyBorder="1" applyAlignment="1">
      <alignment horizontal="right"/>
    </xf>
    <xf numFmtId="0" fontId="9" fillId="2" borderId="28" xfId="0" applyFont="1" applyFill="1" applyBorder="1" applyAlignment="1">
      <alignment horizontal="center"/>
    </xf>
    <xf numFmtId="171" fontId="9" fillId="2" borderId="26" xfId="0" applyNumberFormat="1" applyFont="1" applyFill="1" applyBorder="1" applyAlignment="1">
      <alignment horizontal="center"/>
    </xf>
    <xf numFmtId="171" fontId="9" fillId="2" borderId="30" xfId="0" applyNumberFormat="1" applyFont="1" applyFill="1" applyBorder="1" applyAlignment="1">
      <alignment horizontal="center"/>
    </xf>
    <xf numFmtId="171" fontId="9" fillId="2" borderId="31" xfId="0" applyNumberFormat="1" applyFont="1" applyFill="1" applyBorder="1" applyAlignment="1">
      <alignment horizontal="center"/>
    </xf>
    <xf numFmtId="171" fontId="9" fillId="2" borderId="32" xfId="0" applyNumberFormat="1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171" fontId="9" fillId="2" borderId="35" xfId="0" applyNumberFormat="1" applyFont="1" applyFill="1" applyBorder="1" applyAlignment="1">
      <alignment horizontal="center"/>
    </xf>
    <xf numFmtId="171" fontId="9" fillId="2" borderId="36" xfId="0" applyNumberFormat="1" applyFont="1" applyFill="1" applyBorder="1" applyAlignment="1">
      <alignment horizontal="center"/>
    </xf>
    <xf numFmtId="0" fontId="9" fillId="2" borderId="24" xfId="0" applyFont="1" applyFill="1" applyBorder="1" applyAlignment="1">
      <alignment horizontal="right"/>
    </xf>
    <xf numFmtId="0" fontId="9" fillId="2" borderId="51" xfId="0" applyFont="1" applyFill="1" applyBorder="1" applyAlignment="1">
      <alignment horizontal="right"/>
    </xf>
    <xf numFmtId="0" fontId="9" fillId="2" borderId="25" xfId="0" applyFont="1" applyFill="1" applyBorder="1" applyAlignment="1">
      <alignment horizontal="right"/>
    </xf>
    <xf numFmtId="2" fontId="9" fillId="6" borderId="27" xfId="0" applyNumberFormat="1" applyFont="1" applyFill="1" applyBorder="1" applyAlignment="1">
      <alignment horizontal="center"/>
    </xf>
    <xf numFmtId="2" fontId="9" fillId="6" borderId="41" xfId="0" applyNumberFormat="1" applyFont="1" applyFill="1" applyBorder="1" applyAlignment="1">
      <alignment horizontal="center"/>
    </xf>
    <xf numFmtId="2" fontId="9" fillId="7" borderId="27" xfId="0" applyNumberFormat="1" applyFont="1" applyFill="1" applyBorder="1" applyAlignment="1">
      <alignment horizontal="center"/>
    </xf>
    <xf numFmtId="2" fontId="9" fillId="7" borderId="41" xfId="0" applyNumberFormat="1" applyFont="1" applyFill="1" applyBorder="1" applyAlignment="1">
      <alignment horizontal="center"/>
    </xf>
    <xf numFmtId="2" fontId="9" fillId="6" borderId="17" xfId="0" applyNumberFormat="1" applyFont="1" applyFill="1" applyBorder="1" applyAlignment="1">
      <alignment horizontal="center"/>
    </xf>
    <xf numFmtId="1" fontId="9" fillId="2" borderId="0" xfId="0" applyNumberFormat="1" applyFont="1" applyFill="1" applyAlignment="1">
      <alignment horizontal="center"/>
    </xf>
    <xf numFmtId="0" fontId="9" fillId="2" borderId="53" xfId="0" applyFont="1" applyFill="1" applyBorder="1" applyAlignment="1">
      <alignment horizontal="right"/>
    </xf>
    <xf numFmtId="2" fontId="9" fillId="7" borderId="30" xfId="0" applyNumberFormat="1" applyFont="1" applyFill="1" applyBorder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9" fillId="2" borderId="41" xfId="0" applyFont="1" applyFill="1" applyBorder="1" applyAlignment="1">
      <alignment horizontal="right"/>
    </xf>
    <xf numFmtId="0" fontId="9" fillId="2" borderId="17" xfId="0" applyFont="1" applyFill="1" applyBorder="1" applyAlignment="1">
      <alignment horizontal="right"/>
    </xf>
    <xf numFmtId="2" fontId="9" fillId="2" borderId="21" xfId="0" applyNumberFormat="1" applyFont="1" applyFill="1" applyBorder="1" applyAlignment="1">
      <alignment horizontal="center"/>
    </xf>
    <xf numFmtId="10" fontId="9" fillId="2" borderId="13" xfId="0" applyNumberFormat="1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10" fontId="9" fillId="2" borderId="14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/>
    </xf>
    <xf numFmtId="10" fontId="9" fillId="2" borderId="22" xfId="0" applyNumberFormat="1" applyFont="1" applyFill="1" applyBorder="1" applyAlignment="1">
      <alignment horizontal="center" vertical="center"/>
    </xf>
    <xf numFmtId="2" fontId="9" fillId="2" borderId="14" xfId="0" applyNumberFormat="1" applyFont="1" applyFill="1" applyBorder="1" applyAlignment="1">
      <alignment horizontal="center"/>
    </xf>
    <xf numFmtId="10" fontId="9" fillId="2" borderId="24" xfId="0" applyNumberFormat="1" applyFont="1" applyFill="1" applyBorder="1" applyAlignment="1">
      <alignment horizontal="center" vertical="center"/>
    </xf>
    <xf numFmtId="2" fontId="9" fillId="2" borderId="15" xfId="0" applyNumberFormat="1" applyFont="1" applyFill="1" applyBorder="1" applyAlignment="1">
      <alignment horizontal="center"/>
    </xf>
    <xf numFmtId="10" fontId="9" fillId="2" borderId="44" xfId="0" applyNumberFormat="1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right"/>
    </xf>
    <xf numFmtId="2" fontId="10" fillId="2" borderId="44" xfId="0" applyNumberFormat="1" applyFont="1" applyFill="1" applyBorder="1" applyAlignment="1">
      <alignment horizontal="center"/>
    </xf>
    <xf numFmtId="10" fontId="9" fillId="2" borderId="15" xfId="0" applyNumberFormat="1" applyFont="1" applyFill="1" applyBorder="1" applyAlignment="1">
      <alignment horizontal="center" vertical="center"/>
    </xf>
    <xf numFmtId="0" fontId="9" fillId="2" borderId="45" xfId="0" applyFont="1" applyFill="1" applyBorder="1" applyAlignment="1">
      <alignment horizontal="right"/>
    </xf>
    <xf numFmtId="0" fontId="9" fillId="2" borderId="48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23" xfId="0" applyFont="1" applyFill="1" applyBorder="1" applyAlignment="1">
      <alignment horizontal="center"/>
    </xf>
    <xf numFmtId="2" fontId="9" fillId="2" borderId="26" xfId="0" applyNumberFormat="1" applyFont="1" applyFill="1" applyBorder="1" applyAlignment="1">
      <alignment horizontal="center"/>
    </xf>
    <xf numFmtId="10" fontId="9" fillId="2" borderId="30" xfId="0" applyNumberFormat="1" applyFont="1" applyFill="1" applyBorder="1" applyAlignment="1">
      <alignment horizontal="center"/>
    </xf>
    <xf numFmtId="2" fontId="9" fillId="2" borderId="31" xfId="0" applyNumberFormat="1" applyFont="1" applyFill="1" applyBorder="1" applyAlignment="1">
      <alignment horizontal="center"/>
    </xf>
    <xf numFmtId="10" fontId="9" fillId="2" borderId="32" xfId="0" applyNumberFormat="1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2" fontId="9" fillId="2" borderId="35" xfId="0" applyNumberFormat="1" applyFont="1" applyFill="1" applyBorder="1" applyAlignment="1">
      <alignment horizontal="center"/>
    </xf>
    <xf numFmtId="10" fontId="9" fillId="2" borderId="36" xfId="0" applyNumberFormat="1" applyFont="1" applyFill="1" applyBorder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171" fontId="9" fillId="2" borderId="2" xfId="0" applyNumberFormat="1" applyFont="1" applyFill="1" applyBorder="1" applyAlignment="1">
      <alignment horizontal="right"/>
    </xf>
    <xf numFmtId="0" fontId="9" fillId="2" borderId="23" xfId="0" applyFont="1" applyFill="1" applyBorder="1"/>
    <xf numFmtId="0" fontId="9" fillId="2" borderId="6" xfId="0" applyFont="1" applyFill="1" applyBorder="1"/>
    <xf numFmtId="0" fontId="9" fillId="2" borderId="43" xfId="0" applyFont="1" applyFill="1" applyBorder="1"/>
    <xf numFmtId="0" fontId="9" fillId="2" borderId="59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right"/>
    </xf>
    <xf numFmtId="2" fontId="9" fillId="2" borderId="4" xfId="0" applyNumberFormat="1" applyFont="1" applyFill="1" applyBorder="1" applyAlignment="1">
      <alignment horizontal="center"/>
    </xf>
    <xf numFmtId="10" fontId="9" fillId="2" borderId="28" xfId="0" applyNumberFormat="1" applyFont="1" applyFill="1" applyBorder="1" applyAlignment="1">
      <alignment horizontal="center"/>
    </xf>
    <xf numFmtId="2" fontId="9" fillId="2" borderId="3" xfId="0" applyNumberFormat="1" applyFont="1" applyFill="1" applyBorder="1" applyAlignment="1">
      <alignment horizontal="center"/>
    </xf>
    <xf numFmtId="10" fontId="9" fillId="2" borderId="24" xfId="0" applyNumberFormat="1" applyFont="1" applyFill="1" applyBorder="1" applyAlignment="1">
      <alignment horizontal="center"/>
    </xf>
    <xf numFmtId="2" fontId="9" fillId="2" borderId="5" xfId="0" applyNumberFormat="1" applyFont="1" applyFill="1" applyBorder="1" applyAlignment="1">
      <alignment horizontal="center"/>
    </xf>
    <xf numFmtId="10" fontId="9" fillId="2" borderId="33" xfId="0" applyNumberFormat="1" applyFont="1" applyFill="1" applyBorder="1" applyAlignment="1">
      <alignment horizontal="center"/>
    </xf>
    <xf numFmtId="0" fontId="9" fillId="2" borderId="24" xfId="0" applyFont="1" applyFill="1" applyBorder="1" applyAlignment="1" applyProtection="1">
      <alignment horizontal="center"/>
      <protection locked="0"/>
    </xf>
    <xf numFmtId="0" fontId="9" fillId="2" borderId="9" xfId="0" applyFont="1" applyFill="1" applyBorder="1"/>
    <xf numFmtId="0" fontId="9" fillId="2" borderId="7" xfId="0" applyFont="1" applyFill="1" applyBorder="1" applyProtection="1">
      <protection locked="0"/>
    </xf>
    <xf numFmtId="0" fontId="9" fillId="2" borderId="7" xfId="0" applyFont="1" applyFill="1" applyBorder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30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 vertic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25" fillId="3" borderId="3" xfId="1" applyFont="1" applyFill="1" applyBorder="1" applyAlignment="1" applyProtection="1">
      <alignment horizontal="center"/>
      <protection locked="0"/>
    </xf>
    <xf numFmtId="2" fontId="25" fillId="3" borderId="3" xfId="1" applyNumberFormat="1" applyFont="1" applyFill="1" applyBorder="1" applyAlignment="1" applyProtection="1">
      <alignment horizontal="center"/>
      <protection locked="0"/>
    </xf>
    <xf numFmtId="2" fontId="25" fillId="3" borderId="4" xfId="1" applyNumberFormat="1" applyFont="1" applyFill="1" applyBorder="1" applyAlignment="1" applyProtection="1">
      <alignment horizontal="center"/>
      <protection locked="0"/>
    </xf>
    <xf numFmtId="0" fontId="25" fillId="3" borderId="5" xfId="1" applyFont="1" applyFill="1" applyBorder="1" applyAlignment="1" applyProtection="1">
      <alignment horizontal="center"/>
      <protection locked="0"/>
    </xf>
    <xf numFmtId="2" fontId="25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166" fontId="5" fillId="2" borderId="0" xfId="1" applyNumberFormat="1" applyFont="1" applyFill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0" fontId="31" fillId="3" borderId="3" xfId="2" applyFont="1" applyFill="1" applyBorder="1" applyAlignment="1" applyProtection="1">
      <alignment horizontal="center"/>
      <protection locked="0"/>
    </xf>
    <xf numFmtId="2" fontId="31" fillId="3" borderId="3" xfId="2" applyNumberFormat="1" applyFont="1" applyFill="1" applyBorder="1" applyAlignment="1" applyProtection="1">
      <alignment horizontal="center"/>
      <protection locked="0"/>
    </xf>
    <xf numFmtId="2" fontId="31" fillId="3" borderId="4" xfId="2" applyNumberFormat="1" applyFont="1" applyFill="1" applyBorder="1" applyAlignment="1" applyProtection="1">
      <alignment horizontal="center"/>
      <protection locked="0"/>
    </xf>
    <xf numFmtId="0" fontId="31" fillId="3" borderId="5" xfId="2" applyFont="1" applyFill="1" applyBorder="1" applyAlignment="1" applyProtection="1">
      <alignment horizontal="center"/>
      <protection locked="0"/>
    </xf>
    <xf numFmtId="2" fontId="31" fillId="3" borderId="5" xfId="2" applyNumberFormat="1" applyFont="1" applyFill="1" applyBorder="1" applyAlignment="1" applyProtection="1">
      <alignment horizontal="center"/>
      <protection locked="0"/>
    </xf>
    <xf numFmtId="0" fontId="1" fillId="2" borderId="10" xfId="1" applyFont="1" applyFill="1" applyBorder="1" applyAlignment="1"/>
    <xf numFmtId="0" fontId="1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" fillId="2" borderId="7" xfId="1" applyFont="1" applyFill="1" applyBorder="1" applyAlignment="1">
      <alignment horizontal="center"/>
    </xf>
    <xf numFmtId="0" fontId="1" fillId="2" borderId="11" xfId="1" applyFont="1" applyFill="1" applyBorder="1"/>
    <xf numFmtId="15" fontId="1" fillId="2" borderId="11" xfId="1" applyNumberFormat="1" applyFont="1" applyFill="1" applyBorder="1" applyAlignment="1">
      <alignment horizontal="center"/>
    </xf>
    <xf numFmtId="0" fontId="2" fillId="2" borderId="11" xfId="1" applyFont="1" applyFill="1" applyBorder="1"/>
    <xf numFmtId="0" fontId="23" fillId="2" borderId="0" xfId="1" applyFill="1"/>
    <xf numFmtId="164" fontId="9" fillId="6" borderId="49" xfId="0" applyNumberFormat="1" applyFont="1" applyFill="1" applyBorder="1" applyAlignment="1">
      <alignment horizontal="center"/>
    </xf>
    <xf numFmtId="164" fontId="9" fillId="6" borderId="50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7" fillId="2" borderId="18" xfId="0" applyFont="1" applyFill="1" applyBorder="1" applyAlignment="1">
      <alignment horizontal="center" wrapText="1"/>
    </xf>
    <xf numFmtId="0" fontId="7" fillId="2" borderId="19" xfId="0" applyFont="1" applyFill="1" applyBorder="1" applyAlignment="1">
      <alignment horizontal="center" wrapText="1"/>
    </xf>
    <xf numFmtId="0" fontId="7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1" fillId="2" borderId="18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21" fillId="2" borderId="2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 wrapText="1"/>
      <protection locked="0"/>
    </xf>
    <xf numFmtId="0" fontId="9" fillId="2" borderId="4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9" fillId="2" borderId="4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1"/>
  <sheetViews>
    <sheetView view="pageBreakPreview" zoomScaleNormal="100" zoomScaleSheetLayoutView="100" workbookViewId="0">
      <selection activeCell="B35" sqref="B35"/>
    </sheetView>
  </sheetViews>
  <sheetFormatPr defaultRowHeight="13.5" x14ac:dyDescent="0.25"/>
  <cols>
    <col min="1" max="1" width="27.5703125" style="372" customWidth="1"/>
    <col min="2" max="2" width="28" style="372" customWidth="1"/>
    <col min="3" max="3" width="31.85546875" style="372" customWidth="1"/>
    <col min="4" max="4" width="25.85546875" style="372" customWidth="1"/>
    <col min="5" max="5" width="25.7109375" style="372" customWidth="1"/>
    <col min="6" max="6" width="21.5703125" style="372" customWidth="1"/>
    <col min="7" max="7" width="9.140625" style="372" customWidth="1"/>
    <col min="8" max="16384" width="9.140625" style="420"/>
  </cols>
  <sheetData>
    <row r="3" spans="1:5" ht="15" customHeight="1" x14ac:dyDescent="0.3">
      <c r="A3" s="371"/>
      <c r="C3" s="373"/>
    </row>
    <row r="4" spans="1:5" ht="18.75" customHeight="1" x14ac:dyDescent="0.3">
      <c r="A4" s="424" t="s">
        <v>0</v>
      </c>
      <c r="B4" s="424"/>
      <c r="C4" s="424"/>
      <c r="D4" s="424"/>
      <c r="E4" s="424"/>
    </row>
    <row r="5" spans="1:5" ht="16.5" customHeight="1" x14ac:dyDescent="0.3">
      <c r="A5" s="374" t="s">
        <v>1</v>
      </c>
      <c r="B5" s="375" t="s">
        <v>2</v>
      </c>
    </row>
    <row r="6" spans="1:5" ht="16.5" customHeight="1" x14ac:dyDescent="0.3">
      <c r="A6" s="376" t="s">
        <v>3</v>
      </c>
      <c r="B6" s="376" t="str">
        <f>'ARTEMETHER '!B18:C18</f>
        <v>LONART Dispersible</v>
      </c>
      <c r="D6" s="377"/>
      <c r="E6" s="378"/>
    </row>
    <row r="7" spans="1:5" ht="16.5" customHeight="1" x14ac:dyDescent="0.3">
      <c r="A7" s="379" t="s">
        <v>4</v>
      </c>
      <c r="B7" s="380" t="str">
        <f>'ARTEMETHER '!B26:C26</f>
        <v>ARTEMETHER</v>
      </c>
      <c r="C7" s="378"/>
      <c r="D7" s="378"/>
      <c r="E7" s="378"/>
    </row>
    <row r="8" spans="1:5" ht="16.5" customHeight="1" x14ac:dyDescent="0.3">
      <c r="A8" s="379" t="s">
        <v>6</v>
      </c>
      <c r="B8" s="381">
        <f>'ARTEMETHER '!B30</f>
        <v>99.8</v>
      </c>
      <c r="C8" s="378"/>
      <c r="D8" s="378"/>
      <c r="E8" s="378"/>
    </row>
    <row r="9" spans="1:5" ht="16.5" customHeight="1" x14ac:dyDescent="0.3">
      <c r="A9" s="376" t="s">
        <v>8</v>
      </c>
      <c r="B9" s="380">
        <f>'ARTEMETHER '!D43</f>
        <v>21.82</v>
      </c>
      <c r="C9" s="378"/>
      <c r="D9" s="378"/>
      <c r="E9" s="378"/>
    </row>
    <row r="10" spans="1:5" ht="16.5" customHeight="1" x14ac:dyDescent="0.3">
      <c r="A10" s="376" t="s">
        <v>10</v>
      </c>
      <c r="B10" s="382">
        <f>B9/'ARTEMETHER '!B45</f>
        <v>0.21820000000000001</v>
      </c>
      <c r="C10" s="378"/>
      <c r="D10" s="378"/>
      <c r="E10" s="378"/>
    </row>
    <row r="11" spans="1:5" ht="15.75" customHeight="1" x14ac:dyDescent="0.25">
      <c r="A11" s="378"/>
      <c r="B11" s="378"/>
      <c r="C11" s="378"/>
      <c r="D11" s="378"/>
      <c r="E11" s="378"/>
    </row>
    <row r="12" spans="1:5" ht="16.5" customHeight="1" x14ac:dyDescent="0.3">
      <c r="A12" s="383" t="s">
        <v>12</v>
      </c>
      <c r="B12" s="384" t="s">
        <v>13</v>
      </c>
      <c r="C12" s="383" t="s">
        <v>14</v>
      </c>
      <c r="D12" s="383" t="s">
        <v>15</v>
      </c>
      <c r="E12" s="383" t="s">
        <v>16</v>
      </c>
    </row>
    <row r="13" spans="1:5" ht="16.5" customHeight="1" x14ac:dyDescent="0.25">
      <c r="A13" s="385">
        <v>1</v>
      </c>
      <c r="B13" s="386">
        <v>2436275</v>
      </c>
      <c r="C13" s="387">
        <v>10953.9</v>
      </c>
      <c r="D13" s="387">
        <v>1.02</v>
      </c>
      <c r="E13" s="388">
        <v>5.63</v>
      </c>
    </row>
    <row r="14" spans="1:5" ht="16.5" customHeight="1" x14ac:dyDescent="0.25">
      <c r="A14" s="385">
        <v>2</v>
      </c>
      <c r="B14" s="386">
        <v>2433643</v>
      </c>
      <c r="C14" s="387">
        <v>10960.82</v>
      </c>
      <c r="D14" s="387">
        <v>1.02</v>
      </c>
      <c r="E14" s="387">
        <v>5.62</v>
      </c>
    </row>
    <row r="15" spans="1:5" ht="16.5" customHeight="1" x14ac:dyDescent="0.25">
      <c r="A15" s="385">
        <v>3</v>
      </c>
      <c r="B15" s="386">
        <v>2440825</v>
      </c>
      <c r="C15" s="387">
        <v>10882.21</v>
      </c>
      <c r="D15" s="387">
        <v>1</v>
      </c>
      <c r="E15" s="387">
        <v>5.63</v>
      </c>
    </row>
    <row r="16" spans="1:5" ht="16.5" customHeight="1" x14ac:dyDescent="0.25">
      <c r="A16" s="385">
        <v>4</v>
      </c>
      <c r="B16" s="386">
        <v>2444920</v>
      </c>
      <c r="C16" s="387">
        <v>10935.42</v>
      </c>
      <c r="D16" s="387">
        <v>1.02</v>
      </c>
      <c r="E16" s="387">
        <v>5.63</v>
      </c>
    </row>
    <row r="17" spans="1:5" ht="16.5" customHeight="1" x14ac:dyDescent="0.25">
      <c r="A17" s="385">
        <v>5</v>
      </c>
      <c r="B17" s="386">
        <v>2452603</v>
      </c>
      <c r="C17" s="387">
        <v>10967.62</v>
      </c>
      <c r="D17" s="387">
        <v>1.02</v>
      </c>
      <c r="E17" s="387">
        <v>5.63</v>
      </c>
    </row>
    <row r="18" spans="1:5" ht="16.5" customHeight="1" x14ac:dyDescent="0.25">
      <c r="A18" s="385">
        <v>6</v>
      </c>
      <c r="B18" s="389">
        <v>2440045</v>
      </c>
      <c r="C18" s="390">
        <v>10957.68</v>
      </c>
      <c r="D18" s="390">
        <v>1.03</v>
      </c>
      <c r="E18" s="390">
        <v>5.63</v>
      </c>
    </row>
    <row r="19" spans="1:5" ht="16.5" customHeight="1" x14ac:dyDescent="0.3">
      <c r="A19" s="391" t="s">
        <v>17</v>
      </c>
      <c r="B19" s="392">
        <f>AVERAGE(B13:B18)</f>
        <v>2441385.1666666665</v>
      </c>
      <c r="C19" s="393">
        <f>AVERAGE(C13:C18)</f>
        <v>10942.941666666666</v>
      </c>
      <c r="D19" s="393">
        <f>AVERAGE(D13:D18)</f>
        <v>1.0183333333333333</v>
      </c>
      <c r="E19" s="393">
        <f>AVERAGE(E13:E18)</f>
        <v>5.628333333333333</v>
      </c>
    </row>
    <row r="20" spans="1:5" ht="16.5" customHeight="1" x14ac:dyDescent="0.3">
      <c r="A20" s="394" t="s">
        <v>18</v>
      </c>
      <c r="B20" s="395">
        <f>(STDEV(B13:B18)/B19)</f>
        <v>2.7568455021685359E-3</v>
      </c>
      <c r="C20" s="396"/>
      <c r="D20" s="396"/>
      <c r="E20" s="397"/>
    </row>
    <row r="21" spans="1:5" s="372" customFormat="1" ht="16.5" customHeight="1" x14ac:dyDescent="0.3">
      <c r="A21" s="398" t="s">
        <v>19</v>
      </c>
      <c r="B21" s="399">
        <f>COUNT(B13:B18)</f>
        <v>6</v>
      </c>
      <c r="C21" s="400"/>
      <c r="D21" s="401"/>
      <c r="E21" s="402"/>
    </row>
    <row r="22" spans="1:5" s="372" customFormat="1" ht="15.75" customHeight="1" x14ac:dyDescent="0.25">
      <c r="A22" s="378"/>
      <c r="B22" s="378"/>
      <c r="C22" s="378"/>
      <c r="D22" s="378"/>
      <c r="E22" s="378"/>
    </row>
    <row r="23" spans="1:5" s="372" customFormat="1" ht="16.5" customHeight="1" x14ac:dyDescent="0.3">
      <c r="A23" s="379" t="s">
        <v>20</v>
      </c>
      <c r="B23" s="403" t="s">
        <v>153</v>
      </c>
      <c r="C23" s="404"/>
      <c r="D23" s="404"/>
      <c r="E23" s="404"/>
    </row>
    <row r="24" spans="1:5" ht="16.5" customHeight="1" x14ac:dyDescent="0.3">
      <c r="A24" s="379"/>
      <c r="B24" s="403" t="s">
        <v>154</v>
      </c>
      <c r="C24" s="404"/>
      <c r="D24" s="404"/>
      <c r="E24" s="404"/>
    </row>
    <row r="25" spans="1:5" ht="16.5" customHeight="1" x14ac:dyDescent="0.3">
      <c r="A25" s="379"/>
      <c r="B25" s="403" t="s">
        <v>155</v>
      </c>
      <c r="C25" s="404"/>
      <c r="D25" s="404"/>
      <c r="E25" s="404"/>
    </row>
    <row r="26" spans="1:5" s="372" customFormat="1" ht="15.75" customHeight="1" x14ac:dyDescent="0.25">
      <c r="A26" s="378"/>
      <c r="B26" s="378"/>
      <c r="C26" s="378"/>
      <c r="D26" s="378"/>
      <c r="E26" s="378"/>
    </row>
    <row r="27" spans="1:5" s="372" customFormat="1" ht="15.75" customHeight="1" x14ac:dyDescent="0.3">
      <c r="A27" s="374" t="s">
        <v>1</v>
      </c>
      <c r="B27" s="375" t="s">
        <v>21</v>
      </c>
    </row>
    <row r="28" spans="1:5" s="372" customFormat="1" ht="15.75" customHeight="1" x14ac:dyDescent="0.3">
      <c r="A28" s="379" t="s">
        <v>4</v>
      </c>
      <c r="B28" s="376" t="str">
        <f>'ARTEMETHER '!B80:C80</f>
        <v>ARTEMETHER</v>
      </c>
      <c r="C28" s="378"/>
      <c r="D28" s="378"/>
      <c r="E28" s="378"/>
    </row>
    <row r="29" spans="1:5" s="372" customFormat="1" ht="15.75" customHeight="1" x14ac:dyDescent="0.3">
      <c r="A29" s="379" t="s">
        <v>6</v>
      </c>
      <c r="B29" s="380">
        <f>'ARTEMETHER '!B84</f>
        <v>99.8</v>
      </c>
      <c r="C29" s="378"/>
      <c r="D29" s="378"/>
      <c r="E29" s="378"/>
    </row>
    <row r="30" spans="1:5" s="372" customFormat="1" ht="15.75" customHeight="1" x14ac:dyDescent="0.3">
      <c r="A30" s="376" t="s">
        <v>8</v>
      </c>
      <c r="B30" s="380">
        <f>'ARTEMETHER '!D97</f>
        <v>22</v>
      </c>
      <c r="C30" s="378"/>
      <c r="D30" s="378"/>
      <c r="E30" s="378"/>
    </row>
    <row r="31" spans="1:5" s="372" customFormat="1" ht="15.75" customHeight="1" x14ac:dyDescent="0.3">
      <c r="A31" s="376" t="s">
        <v>10</v>
      </c>
      <c r="B31" s="405">
        <f>B30/'ARTEMETHER '!B99</f>
        <v>2.1999999999999999E-2</v>
      </c>
      <c r="C31" s="378"/>
      <c r="D31" s="378"/>
      <c r="E31" s="378"/>
    </row>
    <row r="32" spans="1:5" s="372" customFormat="1" ht="15.75" customHeight="1" x14ac:dyDescent="0.25">
      <c r="A32" s="378"/>
      <c r="B32" s="378"/>
      <c r="C32" s="378"/>
      <c r="D32" s="378"/>
      <c r="E32" s="378"/>
    </row>
    <row r="33" spans="1:5" s="372" customFormat="1" ht="16.5" customHeight="1" x14ac:dyDescent="0.3">
      <c r="A33" s="383" t="s">
        <v>12</v>
      </c>
      <c r="B33" s="384" t="s">
        <v>13</v>
      </c>
      <c r="C33" s="383" t="s">
        <v>14</v>
      </c>
      <c r="D33" s="383" t="s">
        <v>15</v>
      </c>
      <c r="E33" s="383" t="s">
        <v>16</v>
      </c>
    </row>
    <row r="34" spans="1:5" s="372" customFormat="1" ht="16.5" customHeight="1" x14ac:dyDescent="0.3">
      <c r="A34" s="385">
        <v>1</v>
      </c>
      <c r="B34" s="407">
        <v>987944</v>
      </c>
      <c r="C34" s="407">
        <v>15290.14</v>
      </c>
      <c r="D34" s="408">
        <v>1.07</v>
      </c>
      <c r="E34" s="409">
        <v>7.41</v>
      </c>
    </row>
    <row r="35" spans="1:5" s="372" customFormat="1" ht="16.5" customHeight="1" x14ac:dyDescent="0.3">
      <c r="A35" s="385">
        <v>2</v>
      </c>
      <c r="B35" s="407">
        <v>983006</v>
      </c>
      <c r="C35" s="407">
        <v>15278.85</v>
      </c>
      <c r="D35" s="408">
        <v>1.06</v>
      </c>
      <c r="E35" s="408">
        <v>7.41</v>
      </c>
    </row>
    <row r="36" spans="1:5" s="372" customFormat="1" ht="16.5" customHeight="1" x14ac:dyDescent="0.3">
      <c r="A36" s="385">
        <v>3</v>
      </c>
      <c r="B36" s="407">
        <v>985639</v>
      </c>
      <c r="C36" s="407">
        <v>15329.16</v>
      </c>
      <c r="D36" s="408">
        <v>1.08</v>
      </c>
      <c r="E36" s="408">
        <v>7.41</v>
      </c>
    </row>
    <row r="37" spans="1:5" s="372" customFormat="1" ht="16.5" customHeight="1" x14ac:dyDescent="0.3">
      <c r="A37" s="385">
        <v>4</v>
      </c>
      <c r="B37" s="407">
        <v>979461</v>
      </c>
      <c r="C37" s="407">
        <v>15372.52</v>
      </c>
      <c r="D37" s="408">
        <v>1.07</v>
      </c>
      <c r="E37" s="408">
        <v>7.41</v>
      </c>
    </row>
    <row r="38" spans="1:5" s="372" customFormat="1" ht="16.5" customHeight="1" x14ac:dyDescent="0.3">
      <c r="A38" s="385">
        <v>5</v>
      </c>
      <c r="B38" s="407">
        <v>980665</v>
      </c>
      <c r="C38" s="407">
        <v>15319.31</v>
      </c>
      <c r="D38" s="408">
        <v>1.07</v>
      </c>
      <c r="E38" s="408">
        <v>7.41</v>
      </c>
    </row>
    <row r="39" spans="1:5" s="372" customFormat="1" ht="16.5" customHeight="1" x14ac:dyDescent="0.3">
      <c r="A39" s="385">
        <v>6</v>
      </c>
      <c r="B39" s="410">
        <v>980975</v>
      </c>
      <c r="C39" s="410">
        <v>15284.24</v>
      </c>
      <c r="D39" s="411">
        <v>1.07</v>
      </c>
      <c r="E39" s="411">
        <v>7.41</v>
      </c>
    </row>
    <row r="40" spans="1:5" s="372" customFormat="1" ht="16.5" customHeight="1" x14ac:dyDescent="0.3">
      <c r="A40" s="391" t="s">
        <v>17</v>
      </c>
      <c r="B40" s="392">
        <f>AVERAGE(B34:B39)</f>
        <v>982948.33333333337</v>
      </c>
      <c r="C40" s="406">
        <v>12247.41</v>
      </c>
      <c r="D40" s="393">
        <f>AVERAGE(D34:D39)</f>
        <v>1.07</v>
      </c>
      <c r="E40" s="393">
        <f>AVERAGE(E34:E39)</f>
        <v>7.4099999999999993</v>
      </c>
    </row>
    <row r="41" spans="1:5" s="372" customFormat="1" ht="16.5" customHeight="1" x14ac:dyDescent="0.3">
      <c r="A41" s="394" t="s">
        <v>18</v>
      </c>
      <c r="B41" s="395">
        <f>(STDEV(B34:B39)/B40)</f>
        <v>3.3268614762095631E-3</v>
      </c>
      <c r="C41" s="396"/>
      <c r="D41" s="396"/>
      <c r="E41" s="397"/>
    </row>
    <row r="42" spans="1:5" s="372" customFormat="1" ht="16.5" customHeight="1" x14ac:dyDescent="0.3">
      <c r="A42" s="398" t="s">
        <v>19</v>
      </c>
      <c r="B42" s="399">
        <f>COUNT(B34:B39)</f>
        <v>6</v>
      </c>
      <c r="C42" s="400"/>
      <c r="D42" s="401"/>
      <c r="E42" s="402"/>
    </row>
    <row r="43" spans="1:5" s="372" customFormat="1" ht="15.75" customHeight="1" x14ac:dyDescent="0.25">
      <c r="A43" s="378"/>
      <c r="B43" s="378"/>
      <c r="C43" s="378"/>
      <c r="D43" s="378"/>
      <c r="E43" s="378"/>
    </row>
    <row r="44" spans="1:5" s="372" customFormat="1" ht="16.5" customHeight="1" x14ac:dyDescent="0.3">
      <c r="A44" s="379" t="s">
        <v>20</v>
      </c>
      <c r="B44" s="403" t="s">
        <v>153</v>
      </c>
      <c r="C44" s="404"/>
      <c r="D44" s="404"/>
      <c r="E44" s="404"/>
    </row>
    <row r="45" spans="1:5" s="372" customFormat="1" ht="16.5" customHeight="1" x14ac:dyDescent="0.3">
      <c r="A45" s="379"/>
      <c r="B45" s="403" t="s">
        <v>154</v>
      </c>
      <c r="C45" s="404"/>
      <c r="D45" s="404"/>
      <c r="E45" s="404"/>
    </row>
    <row r="46" spans="1:5" s="372" customFormat="1" ht="16.5" customHeight="1" x14ac:dyDescent="0.3">
      <c r="A46" s="379"/>
      <c r="B46" s="403" t="s">
        <v>155</v>
      </c>
      <c r="C46" s="404"/>
      <c r="D46" s="404"/>
      <c r="E46" s="404"/>
    </row>
    <row r="47" spans="1:5" s="372" customFormat="1" ht="16.5" customHeight="1" x14ac:dyDescent="0.3">
      <c r="A47" s="379"/>
      <c r="B47" s="403"/>
      <c r="C47" s="404"/>
      <c r="D47" s="404"/>
      <c r="E47" s="404"/>
    </row>
    <row r="48" spans="1:5" s="372" customFormat="1" ht="16.5" customHeight="1" x14ac:dyDescent="0.3">
      <c r="A48" s="374" t="s">
        <v>1</v>
      </c>
      <c r="B48" s="375" t="s">
        <v>2</v>
      </c>
    </row>
    <row r="49" spans="1:5" s="372" customFormat="1" ht="16.5" customHeight="1" x14ac:dyDescent="0.3">
      <c r="A49" s="376" t="s">
        <v>3</v>
      </c>
      <c r="B49" s="376" t="str">
        <f>B6</f>
        <v>LONART Dispersible</v>
      </c>
      <c r="D49" s="377"/>
      <c r="E49" s="378"/>
    </row>
    <row r="50" spans="1:5" s="372" customFormat="1" ht="16.5" customHeight="1" x14ac:dyDescent="0.3">
      <c r="A50" s="379" t="s">
        <v>4</v>
      </c>
      <c r="B50" s="380" t="str">
        <f>LUMEFANTRINE!B26</f>
        <v xml:space="preserve">Lumefantrine </v>
      </c>
      <c r="C50" s="378"/>
      <c r="D50" s="378"/>
      <c r="E50" s="378"/>
    </row>
    <row r="51" spans="1:5" s="372" customFormat="1" ht="16.5" customHeight="1" x14ac:dyDescent="0.3">
      <c r="A51" s="379" t="s">
        <v>6</v>
      </c>
      <c r="B51" s="381">
        <f>LUMEFANTRINE!B30</f>
        <v>100.2</v>
      </c>
      <c r="C51" s="378"/>
      <c r="D51" s="378"/>
      <c r="E51" s="378"/>
    </row>
    <row r="52" spans="1:5" s="372" customFormat="1" ht="16.5" customHeight="1" x14ac:dyDescent="0.3">
      <c r="A52" s="376" t="s">
        <v>8</v>
      </c>
      <c r="B52" s="380">
        <f>LUMEFANTRINE!D43</f>
        <v>16.170000000000002</v>
      </c>
      <c r="C52" s="378"/>
      <c r="D52" s="378"/>
      <c r="E52" s="378"/>
    </row>
    <row r="53" spans="1:5" s="372" customFormat="1" ht="16.5" customHeight="1" x14ac:dyDescent="0.3">
      <c r="A53" s="376" t="s">
        <v>10</v>
      </c>
      <c r="B53" s="382">
        <f>B52/LUMEFANTRINE!B45</f>
        <v>6.4680000000000001E-2</v>
      </c>
      <c r="C53" s="378"/>
      <c r="D53" s="378"/>
      <c r="E53" s="378"/>
    </row>
    <row r="54" spans="1:5" s="372" customFormat="1" ht="16.5" customHeight="1" x14ac:dyDescent="0.25">
      <c r="A54" s="378"/>
      <c r="B54" s="378"/>
      <c r="C54" s="378"/>
      <c r="D54" s="378"/>
      <c r="E54" s="378"/>
    </row>
    <row r="55" spans="1:5" s="372" customFormat="1" ht="16.5" customHeight="1" x14ac:dyDescent="0.3">
      <c r="A55" s="383" t="s">
        <v>12</v>
      </c>
      <c r="B55" s="384" t="s">
        <v>13</v>
      </c>
      <c r="C55" s="383" t="s">
        <v>14</v>
      </c>
      <c r="D55" s="383" t="s">
        <v>15</v>
      </c>
      <c r="E55" s="383" t="s">
        <v>16</v>
      </c>
    </row>
    <row r="56" spans="1:5" s="372" customFormat="1" ht="16.5" customHeight="1" x14ac:dyDescent="0.25">
      <c r="A56" s="385">
        <v>1</v>
      </c>
      <c r="B56" s="386">
        <v>7476000</v>
      </c>
      <c r="C56" s="387">
        <v>3926.73</v>
      </c>
      <c r="D56" s="387">
        <v>0.97</v>
      </c>
      <c r="E56" s="388">
        <v>3.8</v>
      </c>
    </row>
    <row r="57" spans="1:5" s="372" customFormat="1" ht="16.5" customHeight="1" x14ac:dyDescent="0.25">
      <c r="A57" s="385">
        <v>2</v>
      </c>
      <c r="B57" s="386">
        <v>7495659</v>
      </c>
      <c r="C57" s="387">
        <v>3906.2</v>
      </c>
      <c r="D57" s="387">
        <v>0.97</v>
      </c>
      <c r="E57" s="387">
        <v>3.8</v>
      </c>
    </row>
    <row r="58" spans="1:5" s="372" customFormat="1" ht="16.5" customHeight="1" x14ac:dyDescent="0.25">
      <c r="A58" s="385">
        <v>3</v>
      </c>
      <c r="B58" s="386">
        <v>7500415</v>
      </c>
      <c r="C58" s="387">
        <v>3890.42</v>
      </c>
      <c r="D58" s="387">
        <v>0.96</v>
      </c>
      <c r="E58" s="387">
        <v>3.8</v>
      </c>
    </row>
    <row r="59" spans="1:5" s="372" customFormat="1" ht="16.5" customHeight="1" x14ac:dyDescent="0.25">
      <c r="A59" s="385">
        <v>4</v>
      </c>
      <c r="B59" s="386">
        <v>7507896</v>
      </c>
      <c r="C59" s="387">
        <v>3900.71</v>
      </c>
      <c r="D59" s="387">
        <v>0.96</v>
      </c>
      <c r="E59" s="387">
        <v>3.8</v>
      </c>
    </row>
    <row r="60" spans="1:5" s="372" customFormat="1" ht="16.5" customHeight="1" x14ac:dyDescent="0.25">
      <c r="A60" s="385">
        <v>5</v>
      </c>
      <c r="B60" s="386">
        <v>7515115</v>
      </c>
      <c r="C60" s="387">
        <v>3894.7</v>
      </c>
      <c r="D60" s="387">
        <v>0.96</v>
      </c>
      <c r="E60" s="387">
        <v>3.8</v>
      </c>
    </row>
    <row r="61" spans="1:5" s="372" customFormat="1" ht="16.5" customHeight="1" x14ac:dyDescent="0.25">
      <c r="A61" s="385">
        <v>6</v>
      </c>
      <c r="B61" s="389">
        <v>7507986</v>
      </c>
      <c r="C61" s="390">
        <v>3895.21</v>
      </c>
      <c r="D61" s="390">
        <v>0.98</v>
      </c>
      <c r="E61" s="390">
        <v>3.8</v>
      </c>
    </row>
    <row r="62" spans="1:5" s="372" customFormat="1" ht="16.5" customHeight="1" x14ac:dyDescent="0.3">
      <c r="A62" s="391" t="s">
        <v>17</v>
      </c>
      <c r="B62" s="392">
        <f>AVERAGE(B56:B61)</f>
        <v>7500511.833333333</v>
      </c>
      <c r="C62" s="393">
        <f>AVERAGE(C56:C61)</f>
        <v>3902.3283333333334</v>
      </c>
      <c r="D62" s="393">
        <f>AVERAGE(D56:D61)</f>
        <v>0.96666666666666679</v>
      </c>
      <c r="E62" s="393">
        <f>AVERAGE(E56:E61)</f>
        <v>3.8000000000000003</v>
      </c>
    </row>
    <row r="63" spans="1:5" s="372" customFormat="1" ht="16.5" customHeight="1" x14ac:dyDescent="0.3">
      <c r="A63" s="394" t="s">
        <v>18</v>
      </c>
      <c r="B63" s="395">
        <f>(STDEV(B56:B61)/B62)</f>
        <v>1.8358421819301941E-3</v>
      </c>
      <c r="C63" s="396"/>
      <c r="D63" s="396"/>
      <c r="E63" s="397"/>
    </row>
    <row r="64" spans="1:5" s="372" customFormat="1" ht="16.5" customHeight="1" x14ac:dyDescent="0.3">
      <c r="A64" s="398" t="s">
        <v>19</v>
      </c>
      <c r="B64" s="399">
        <f>COUNT(B56:B61)</f>
        <v>6</v>
      </c>
      <c r="C64" s="400"/>
      <c r="D64" s="401"/>
      <c r="E64" s="402"/>
    </row>
    <row r="65" spans="1:5" s="372" customFormat="1" ht="16.5" customHeight="1" x14ac:dyDescent="0.25">
      <c r="A65" s="378"/>
      <c r="B65" s="378"/>
      <c r="C65" s="378"/>
      <c r="D65" s="378"/>
      <c r="E65" s="378"/>
    </row>
    <row r="66" spans="1:5" s="372" customFormat="1" ht="16.5" customHeight="1" x14ac:dyDescent="0.3">
      <c r="A66" s="379" t="s">
        <v>20</v>
      </c>
      <c r="B66" s="403" t="s">
        <v>153</v>
      </c>
      <c r="C66" s="404"/>
      <c r="D66" s="404"/>
      <c r="E66" s="404"/>
    </row>
    <row r="67" spans="1:5" s="372" customFormat="1" ht="16.5" customHeight="1" x14ac:dyDescent="0.3">
      <c r="A67" s="379"/>
      <c r="B67" s="403" t="s">
        <v>154</v>
      </c>
      <c r="C67" s="404"/>
      <c r="D67" s="404"/>
      <c r="E67" s="404"/>
    </row>
    <row r="68" spans="1:5" s="372" customFormat="1" ht="16.5" customHeight="1" thickBot="1" x14ac:dyDescent="0.35">
      <c r="A68" s="379"/>
      <c r="B68" s="403" t="s">
        <v>155</v>
      </c>
      <c r="C68" s="404"/>
      <c r="D68" s="404"/>
      <c r="E68" s="404"/>
    </row>
    <row r="69" spans="1:5" s="372" customFormat="1" ht="15" customHeight="1" x14ac:dyDescent="0.3">
      <c r="B69" s="412" t="s">
        <v>22</v>
      </c>
      <c r="C69" s="413" t="s">
        <v>23</v>
      </c>
      <c r="E69" s="413" t="s">
        <v>24</v>
      </c>
    </row>
    <row r="70" spans="1:5" s="372" customFormat="1" ht="15" customHeight="1" x14ac:dyDescent="0.3">
      <c r="A70" s="414" t="s">
        <v>25</v>
      </c>
      <c r="B70" s="415" t="s">
        <v>156</v>
      </c>
      <c r="C70" s="416"/>
      <c r="E70" s="415"/>
    </row>
    <row r="71" spans="1:5" s="372" customFormat="1" ht="15" customHeight="1" x14ac:dyDescent="0.3">
      <c r="A71" s="414" t="s">
        <v>26</v>
      </c>
      <c r="B71" s="417" t="s">
        <v>157</v>
      </c>
      <c r="C71" s="418">
        <v>42360</v>
      </c>
      <c r="E71" s="419"/>
    </row>
  </sheetData>
  <sheetProtection formatCells="0" formatColumns="0" formatRows="0" insertColumns="0" insertRows="0" insertHyperlinks="0" deleteColumns="0" deleteRows="0" sort="0" autoFilter="0" pivotTables="0"/>
  <mergeCells count="1">
    <mergeCell ref="A4:E4"/>
  </mergeCells>
  <pageMargins left="0.7" right="0.7" top="0.75" bottom="0.75" header="0.3" footer="0.3"/>
  <pageSetup paperSize="9" scale="48" orientation="portrait" r:id="rId1"/>
  <rowBreaks count="1" manualBreakCount="1">
    <brk id="71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F53" sqref="F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  <col min="9" max="16384" width="9.140625" style="277"/>
  </cols>
  <sheetData>
    <row r="10" spans="1:7" ht="13.5" customHeight="1" x14ac:dyDescent="0.3"/>
    <row r="11" spans="1:7" ht="13.5" customHeight="1" x14ac:dyDescent="0.3">
      <c r="A11" s="428" t="s">
        <v>27</v>
      </c>
      <c r="B11" s="429"/>
      <c r="C11" s="429"/>
      <c r="D11" s="429"/>
      <c r="E11" s="429"/>
      <c r="F11" s="430"/>
      <c r="G11" s="19"/>
    </row>
    <row r="12" spans="1:7" ht="16.5" customHeight="1" x14ac:dyDescent="0.3">
      <c r="A12" s="427" t="s">
        <v>28</v>
      </c>
      <c r="B12" s="427"/>
      <c r="C12" s="427"/>
      <c r="D12" s="427"/>
      <c r="E12" s="427"/>
      <c r="F12" s="427"/>
      <c r="G12" s="18"/>
    </row>
    <row r="14" spans="1:7" ht="16.5" customHeight="1" x14ac:dyDescent="0.3">
      <c r="A14" s="432" t="s">
        <v>29</v>
      </c>
      <c r="B14" s="432"/>
      <c r="C14" s="12" t="s">
        <v>5</v>
      </c>
    </row>
    <row r="15" spans="1:7" ht="16.5" customHeight="1" x14ac:dyDescent="0.3">
      <c r="A15" s="432" t="s">
        <v>30</v>
      </c>
      <c r="B15" s="432"/>
      <c r="C15" s="12" t="s">
        <v>7</v>
      </c>
    </row>
    <row r="16" spans="1:7" ht="16.5" customHeight="1" x14ac:dyDescent="0.3">
      <c r="A16" s="432" t="s">
        <v>31</v>
      </c>
      <c r="B16" s="432"/>
      <c r="C16" s="12" t="s">
        <v>9</v>
      </c>
    </row>
    <row r="17" spans="1:5" ht="16.5" customHeight="1" x14ac:dyDescent="0.3">
      <c r="A17" s="432" t="s">
        <v>32</v>
      </c>
      <c r="B17" s="432"/>
      <c r="C17" s="12" t="s">
        <v>11</v>
      </c>
    </row>
    <row r="18" spans="1:5" ht="16.5" customHeight="1" x14ac:dyDescent="0.3">
      <c r="A18" s="432" t="s">
        <v>33</v>
      </c>
      <c r="B18" s="432"/>
      <c r="C18" s="280" t="str">
        <f>'ARTEMETHER '!B22</f>
        <v>29th Oct 2015</v>
      </c>
    </row>
    <row r="19" spans="1:5" ht="16.5" customHeight="1" x14ac:dyDescent="0.3">
      <c r="A19" s="432" t="s">
        <v>34</v>
      </c>
      <c r="B19" s="432"/>
      <c r="C19" s="280" t="str">
        <f>'ARTEMETHER '!B23</f>
        <v>4th  Dec 2015</v>
      </c>
    </row>
    <row r="20" spans="1:5" ht="16.5" customHeight="1" x14ac:dyDescent="0.3">
      <c r="A20" s="270"/>
      <c r="B20" s="270"/>
      <c r="C20" s="281"/>
    </row>
    <row r="21" spans="1:5" ht="16.5" customHeight="1" x14ac:dyDescent="0.3">
      <c r="A21" s="427" t="s">
        <v>1</v>
      </c>
      <c r="B21" s="427"/>
      <c r="C21" s="8" t="s">
        <v>35</v>
      </c>
      <c r="D21" s="282"/>
    </row>
    <row r="22" spans="1:5" ht="15.75" customHeight="1" x14ac:dyDescent="0.3">
      <c r="A22" s="431"/>
      <c r="B22" s="431"/>
      <c r="C22" s="6"/>
      <c r="D22" s="431"/>
      <c r="E22" s="431"/>
    </row>
    <row r="23" spans="1:5" ht="33.75" customHeight="1" x14ac:dyDescent="0.3">
      <c r="C23" s="17" t="s">
        <v>36</v>
      </c>
      <c r="D23" s="16" t="s">
        <v>37</v>
      </c>
      <c r="E23" s="279"/>
    </row>
    <row r="24" spans="1:5" ht="15.75" customHeight="1" x14ac:dyDescent="0.3">
      <c r="C24" s="283">
        <v>301.86</v>
      </c>
      <c r="D24" s="284">
        <f t="shared" ref="D24:D43" si="0">(C24-$C$46)/$C$46</f>
        <v>1.1339289154386215E-2</v>
      </c>
      <c r="E24" s="285"/>
    </row>
    <row r="25" spans="1:5" ht="15.75" customHeight="1" x14ac:dyDescent="0.3">
      <c r="C25" s="283">
        <v>300.27999999999997</v>
      </c>
      <c r="D25" s="286">
        <f t="shared" si="0"/>
        <v>6.0457223457200402E-3</v>
      </c>
      <c r="E25" s="285"/>
    </row>
    <row r="26" spans="1:5" ht="15.75" customHeight="1" x14ac:dyDescent="0.3">
      <c r="C26" s="283">
        <v>283.95999999999998</v>
      </c>
      <c r="D26" s="286">
        <f t="shared" si="0"/>
        <v>-4.863213228556458E-2</v>
      </c>
      <c r="E26" s="285"/>
    </row>
    <row r="27" spans="1:5" ht="15.75" customHeight="1" x14ac:dyDescent="0.3">
      <c r="C27" s="283">
        <v>294.87</v>
      </c>
      <c r="D27" s="286">
        <f t="shared" si="0"/>
        <v>-1.207971843585154E-2</v>
      </c>
      <c r="E27" s="285"/>
    </row>
    <row r="28" spans="1:5" ht="15.75" customHeight="1" x14ac:dyDescent="0.3">
      <c r="C28" s="283">
        <v>291.60000000000002</v>
      </c>
      <c r="D28" s="286">
        <f t="shared" si="0"/>
        <v>-2.303539151454638E-2</v>
      </c>
      <c r="E28" s="285"/>
    </row>
    <row r="29" spans="1:5" ht="15.75" customHeight="1" x14ac:dyDescent="0.3">
      <c r="C29" s="283">
        <v>293.85000000000002</v>
      </c>
      <c r="D29" s="286">
        <f t="shared" si="0"/>
        <v>-1.5497084350306769E-2</v>
      </c>
      <c r="E29" s="285"/>
    </row>
    <row r="30" spans="1:5" ht="15.75" customHeight="1" x14ac:dyDescent="0.3">
      <c r="C30" s="283">
        <v>300.14999999999998</v>
      </c>
      <c r="D30" s="286">
        <f t="shared" si="0"/>
        <v>5.6101757095639885E-3</v>
      </c>
      <c r="E30" s="285"/>
    </row>
    <row r="31" spans="1:5" ht="15.75" customHeight="1" x14ac:dyDescent="0.3">
      <c r="C31" s="283">
        <v>295.87</v>
      </c>
      <c r="D31" s="286">
        <f t="shared" si="0"/>
        <v>-8.7293596961894905E-3</v>
      </c>
      <c r="E31" s="285"/>
    </row>
    <row r="32" spans="1:5" ht="15.75" customHeight="1" x14ac:dyDescent="0.3">
      <c r="C32" s="283">
        <v>308.62</v>
      </c>
      <c r="D32" s="286">
        <f t="shared" si="0"/>
        <v>3.3987714234501636E-2</v>
      </c>
      <c r="E32" s="285"/>
    </row>
    <row r="33" spans="1:7" ht="15.75" customHeight="1" x14ac:dyDescent="0.3">
      <c r="C33" s="283">
        <v>301</v>
      </c>
      <c r="D33" s="286">
        <f t="shared" si="0"/>
        <v>8.4579806382768068E-3</v>
      </c>
      <c r="E33" s="285"/>
    </row>
    <row r="34" spans="1:7" ht="15.75" customHeight="1" x14ac:dyDescent="0.3">
      <c r="C34" s="283">
        <v>306.58</v>
      </c>
      <c r="D34" s="286">
        <f t="shared" si="0"/>
        <v>2.7152982405590987E-2</v>
      </c>
      <c r="E34" s="285"/>
    </row>
    <row r="35" spans="1:7" ht="15.75" customHeight="1" x14ac:dyDescent="0.3">
      <c r="C35" s="283">
        <v>298.79000000000002</v>
      </c>
      <c r="D35" s="286">
        <f t="shared" si="0"/>
        <v>1.0536878236237464E-3</v>
      </c>
      <c r="E35" s="285"/>
    </row>
    <row r="36" spans="1:7" ht="15.75" customHeight="1" x14ac:dyDescent="0.3">
      <c r="C36" s="283">
        <v>287.54000000000002</v>
      </c>
      <c r="D36" s="286">
        <f t="shared" si="0"/>
        <v>-3.6637847997574309E-2</v>
      </c>
      <c r="E36" s="285"/>
    </row>
    <row r="37" spans="1:7" ht="15.75" customHeight="1" x14ac:dyDescent="0.3">
      <c r="C37" s="283">
        <v>287.22000000000003</v>
      </c>
      <c r="D37" s="286">
        <f t="shared" si="0"/>
        <v>-3.7709962794266139E-2</v>
      </c>
      <c r="E37" s="285"/>
    </row>
    <row r="38" spans="1:7" ht="15.75" customHeight="1" x14ac:dyDescent="0.3">
      <c r="C38" s="283">
        <v>302.17</v>
      </c>
      <c r="D38" s="286">
        <f t="shared" si="0"/>
        <v>1.2377900363681457E-2</v>
      </c>
      <c r="E38" s="285"/>
    </row>
    <row r="39" spans="1:7" ht="15.75" customHeight="1" x14ac:dyDescent="0.3">
      <c r="C39" s="283">
        <v>304.02999999999997</v>
      </c>
      <c r="D39" s="286">
        <f t="shared" si="0"/>
        <v>1.8609567619452726E-2</v>
      </c>
      <c r="E39" s="285"/>
    </row>
    <row r="40" spans="1:7" ht="15.75" customHeight="1" x14ac:dyDescent="0.3">
      <c r="C40" s="283">
        <v>308.52</v>
      </c>
      <c r="D40" s="286">
        <f t="shared" si="0"/>
        <v>3.3652678360535357E-2</v>
      </c>
      <c r="E40" s="285"/>
    </row>
    <row r="41" spans="1:7" ht="15.75" customHeight="1" x14ac:dyDescent="0.3">
      <c r="C41" s="283">
        <v>300.85000000000002</v>
      </c>
      <c r="D41" s="286">
        <f t="shared" si="0"/>
        <v>7.9554268273275761E-3</v>
      </c>
      <c r="E41" s="285"/>
    </row>
    <row r="42" spans="1:7" ht="15.75" customHeight="1" x14ac:dyDescent="0.3">
      <c r="C42" s="283">
        <v>300.64</v>
      </c>
      <c r="D42" s="286">
        <f t="shared" si="0"/>
        <v>7.251851491998423E-3</v>
      </c>
      <c r="E42" s="285"/>
    </row>
    <row r="43" spans="1:7" ht="16.5" customHeight="1" x14ac:dyDescent="0.3">
      <c r="C43" s="287">
        <v>301.11</v>
      </c>
      <c r="D43" s="288">
        <f t="shared" si="0"/>
        <v>8.8265200996396776E-3</v>
      </c>
      <c r="E43" s="285"/>
    </row>
    <row r="44" spans="1:7" ht="16.5" customHeight="1" x14ac:dyDescent="0.3">
      <c r="C44" s="289"/>
      <c r="D44" s="285"/>
      <c r="E44" s="290"/>
    </row>
    <row r="45" spans="1:7" ht="16.5" customHeight="1" x14ac:dyDescent="0.3">
      <c r="B45" s="291" t="s">
        <v>38</v>
      </c>
      <c r="C45" s="292">
        <f>SUM(C24:C44)</f>
        <v>5969.51</v>
      </c>
      <c r="D45" s="293"/>
      <c r="E45" s="289"/>
    </row>
    <row r="46" spans="1:7" ht="17.25" customHeight="1" x14ac:dyDescent="0.3">
      <c r="B46" s="291" t="s">
        <v>39</v>
      </c>
      <c r="C46" s="15">
        <f>AVERAGE(C24:C44)</f>
        <v>298.47550000000001</v>
      </c>
      <c r="E46" s="5"/>
    </row>
    <row r="47" spans="1:7" ht="17.25" customHeight="1" x14ac:dyDescent="0.3">
      <c r="A47" s="12"/>
      <c r="B47" s="13"/>
      <c r="D47" s="7"/>
      <c r="E47" s="5"/>
    </row>
    <row r="48" spans="1:7" ht="33.75" customHeight="1" x14ac:dyDescent="0.3">
      <c r="B48" s="20" t="s">
        <v>39</v>
      </c>
      <c r="C48" s="16" t="s">
        <v>40</v>
      </c>
      <c r="D48" s="294"/>
      <c r="G48" s="7"/>
    </row>
    <row r="49" spans="1:6" ht="17.25" customHeight="1" x14ac:dyDescent="0.3">
      <c r="B49" s="425">
        <f>C46</f>
        <v>298.47550000000001</v>
      </c>
      <c r="C49" s="21">
        <f>-IF(C46&lt;=80,10%,IF(C46&lt;250,7.5%,5%))</f>
        <v>-0.05</v>
      </c>
      <c r="D49" s="14">
        <f>IF(C46&lt;=80,C46*0.9,IF(C46&lt;250,C46*0.925,C46*0.95))</f>
        <v>283.55172499999998</v>
      </c>
    </row>
    <row r="50" spans="1:6" ht="17.25" customHeight="1" x14ac:dyDescent="0.3">
      <c r="B50" s="426"/>
      <c r="C50" s="22">
        <f>IF(C46&lt;=80, 10%, IF(C46&lt;250, 7.5%, 5%))</f>
        <v>0.05</v>
      </c>
      <c r="D50" s="14">
        <f>IF(C46&lt;=80, C46*1.1, IF(C46&lt;250, C46*1.075, C46*1.05))</f>
        <v>313.39927500000005</v>
      </c>
    </row>
    <row r="51" spans="1:6" ht="16.5" customHeight="1" x14ac:dyDescent="0.3">
      <c r="A51" s="295"/>
      <c r="B51" s="3"/>
      <c r="C51" s="12"/>
      <c r="D51" s="296"/>
      <c r="E51" s="12"/>
      <c r="F51" s="282"/>
    </row>
    <row r="52" spans="1:6" ht="16.5" customHeight="1" x14ac:dyDescent="0.3">
      <c r="A52" s="12"/>
      <c r="B52" s="9" t="s">
        <v>22</v>
      </c>
      <c r="C52" s="9"/>
      <c r="D52" s="10" t="s">
        <v>23</v>
      </c>
      <c r="E52" s="10"/>
      <c r="F52" s="10" t="s">
        <v>24</v>
      </c>
    </row>
    <row r="53" spans="1:6" ht="34.5" customHeight="1" x14ac:dyDescent="0.3">
      <c r="A53" s="270" t="s">
        <v>25</v>
      </c>
      <c r="B53" s="278"/>
      <c r="C53" s="12"/>
      <c r="D53" s="278"/>
      <c r="E53" s="12"/>
      <c r="F53" s="278"/>
    </row>
    <row r="54" spans="1:6" ht="34.5" customHeight="1" x14ac:dyDescent="0.3">
      <c r="A54" s="270" t="s">
        <v>26</v>
      </c>
      <c r="B54" s="11"/>
      <c r="C54" s="12"/>
      <c r="D54" s="11"/>
      <c r="E54" s="12"/>
      <c r="F54" s="11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zoomScale="60" zoomScaleNormal="75" zoomScalePageLayoutView="55" workbookViewId="0">
      <selection activeCell="B20" sqref="B20:C20"/>
    </sheetView>
  </sheetViews>
  <sheetFormatPr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41.140625" style="1" customWidth="1"/>
    <col min="9" max="9" width="30.42578125" style="1" customWidth="1"/>
    <col min="10" max="10" width="21.28515625" style="1" customWidth="1"/>
    <col min="11" max="11" width="9.140625" style="1" customWidth="1"/>
    <col min="12" max="16384" width="9.140625" style="277"/>
  </cols>
  <sheetData>
    <row r="1" spans="1:8" x14ac:dyDescent="0.3">
      <c r="A1" s="433" t="s">
        <v>41</v>
      </c>
      <c r="B1" s="433"/>
      <c r="C1" s="433"/>
      <c r="D1" s="433"/>
      <c r="E1" s="433"/>
      <c r="F1" s="433"/>
      <c r="G1" s="433"/>
      <c r="H1" s="433"/>
    </row>
    <row r="2" spans="1:8" x14ac:dyDescent="0.3">
      <c r="A2" s="433"/>
      <c r="B2" s="433"/>
      <c r="C2" s="433"/>
      <c r="D2" s="433"/>
      <c r="E2" s="433"/>
      <c r="F2" s="433"/>
      <c r="G2" s="433"/>
      <c r="H2" s="433"/>
    </row>
    <row r="3" spans="1:8" x14ac:dyDescent="0.3">
      <c r="A3" s="433"/>
      <c r="B3" s="433"/>
      <c r="C3" s="433"/>
      <c r="D3" s="433"/>
      <c r="E3" s="433"/>
      <c r="F3" s="433"/>
      <c r="G3" s="433"/>
      <c r="H3" s="433"/>
    </row>
    <row r="4" spans="1:8" x14ac:dyDescent="0.3">
      <c r="A4" s="433"/>
      <c r="B4" s="433"/>
      <c r="C4" s="433"/>
      <c r="D4" s="433"/>
      <c r="E4" s="433"/>
      <c r="F4" s="433"/>
      <c r="G4" s="433"/>
      <c r="H4" s="433"/>
    </row>
    <row r="5" spans="1:8" x14ac:dyDescent="0.3">
      <c r="A5" s="433"/>
      <c r="B5" s="433"/>
      <c r="C5" s="433"/>
      <c r="D5" s="433"/>
      <c r="E5" s="433"/>
      <c r="F5" s="433"/>
      <c r="G5" s="433"/>
      <c r="H5" s="433"/>
    </row>
    <row r="6" spans="1:8" x14ac:dyDescent="0.3">
      <c r="A6" s="433"/>
      <c r="B6" s="433"/>
      <c r="C6" s="433"/>
      <c r="D6" s="433"/>
      <c r="E6" s="433"/>
      <c r="F6" s="433"/>
      <c r="G6" s="433"/>
      <c r="H6" s="433"/>
    </row>
    <row r="7" spans="1:8" x14ac:dyDescent="0.3">
      <c r="A7" s="433"/>
      <c r="B7" s="433"/>
      <c r="C7" s="433"/>
      <c r="D7" s="433"/>
      <c r="E7" s="433"/>
      <c r="F7" s="433"/>
      <c r="G7" s="433"/>
      <c r="H7" s="433"/>
    </row>
    <row r="8" spans="1:8" x14ac:dyDescent="0.3">
      <c r="A8" s="434" t="s">
        <v>42</v>
      </c>
      <c r="B8" s="434"/>
      <c r="C8" s="434"/>
      <c r="D8" s="434"/>
      <c r="E8" s="434"/>
      <c r="F8" s="434"/>
      <c r="G8" s="434"/>
      <c r="H8" s="434"/>
    </row>
    <row r="9" spans="1:8" x14ac:dyDescent="0.3">
      <c r="A9" s="434"/>
      <c r="B9" s="434"/>
      <c r="C9" s="434"/>
      <c r="D9" s="434"/>
      <c r="E9" s="434"/>
      <c r="F9" s="434"/>
      <c r="G9" s="434"/>
      <c r="H9" s="434"/>
    </row>
    <row r="10" spans="1:8" x14ac:dyDescent="0.3">
      <c r="A10" s="434"/>
      <c r="B10" s="434"/>
      <c r="C10" s="434"/>
      <c r="D10" s="434"/>
      <c r="E10" s="434"/>
      <c r="F10" s="434"/>
      <c r="G10" s="434"/>
      <c r="H10" s="434"/>
    </row>
    <row r="11" spans="1:8" x14ac:dyDescent="0.3">
      <c r="A11" s="434"/>
      <c r="B11" s="434"/>
      <c r="C11" s="434"/>
      <c r="D11" s="434"/>
      <c r="E11" s="434"/>
      <c r="F11" s="434"/>
      <c r="G11" s="434"/>
      <c r="H11" s="434"/>
    </row>
    <row r="12" spans="1:8" x14ac:dyDescent="0.3">
      <c r="A12" s="434"/>
      <c r="B12" s="434"/>
      <c r="C12" s="434"/>
      <c r="D12" s="434"/>
      <c r="E12" s="434"/>
      <c r="F12" s="434"/>
      <c r="G12" s="434"/>
      <c r="H12" s="434"/>
    </row>
    <row r="13" spans="1:8" x14ac:dyDescent="0.3">
      <c r="A13" s="434"/>
      <c r="B13" s="434"/>
      <c r="C13" s="434"/>
      <c r="D13" s="434"/>
      <c r="E13" s="434"/>
      <c r="F13" s="434"/>
      <c r="G13" s="434"/>
      <c r="H13" s="434"/>
    </row>
    <row r="14" spans="1:8" x14ac:dyDescent="0.3">
      <c r="A14" s="434"/>
      <c r="B14" s="434"/>
      <c r="C14" s="434"/>
      <c r="D14" s="434"/>
      <c r="E14" s="434"/>
      <c r="F14" s="434"/>
      <c r="G14" s="434"/>
      <c r="H14" s="434"/>
    </row>
    <row r="15" spans="1:8" ht="19.5" customHeight="1" x14ac:dyDescent="0.3"/>
    <row r="16" spans="1:8" ht="19.5" customHeight="1" x14ac:dyDescent="0.3">
      <c r="A16" s="435" t="s">
        <v>27</v>
      </c>
      <c r="B16" s="436"/>
      <c r="C16" s="436"/>
      <c r="D16" s="436"/>
      <c r="E16" s="436"/>
      <c r="F16" s="436"/>
      <c r="G16" s="436"/>
      <c r="H16" s="437"/>
    </row>
    <row r="17" spans="1:13" ht="18.75" x14ac:dyDescent="0.3">
      <c r="A17" s="200" t="s">
        <v>43</v>
      </c>
      <c r="B17" s="200"/>
    </row>
    <row r="18" spans="1:13" ht="26.25" x14ac:dyDescent="0.4">
      <c r="A18" s="201" t="s">
        <v>29</v>
      </c>
      <c r="B18" s="442" t="s">
        <v>5</v>
      </c>
      <c r="C18" s="442"/>
      <c r="D18" s="199"/>
      <c r="E18" s="197"/>
      <c r="F18" s="297"/>
      <c r="G18" s="297"/>
      <c r="H18" s="297"/>
    </row>
    <row r="19" spans="1:13" ht="26.25" x14ac:dyDescent="0.4">
      <c r="A19" s="201" t="s">
        <v>30</v>
      </c>
      <c r="B19" s="271" t="s">
        <v>7</v>
      </c>
      <c r="C19" s="297">
        <v>15</v>
      </c>
      <c r="D19" s="297"/>
      <c r="E19" s="297"/>
      <c r="F19" s="297"/>
      <c r="G19" s="297"/>
      <c r="H19" s="297"/>
    </row>
    <row r="20" spans="1:13" ht="26.25" x14ac:dyDescent="0.4">
      <c r="A20" s="201" t="s">
        <v>31</v>
      </c>
      <c r="B20" s="442" t="s">
        <v>9</v>
      </c>
      <c r="C20" s="442"/>
      <c r="D20" s="297"/>
      <c r="E20" s="297"/>
      <c r="F20" s="297"/>
      <c r="G20" s="297"/>
      <c r="H20" s="297"/>
    </row>
    <row r="21" spans="1:13" ht="26.25" x14ac:dyDescent="0.4">
      <c r="A21" s="201" t="s">
        <v>32</v>
      </c>
      <c r="B21" s="442" t="s">
        <v>11</v>
      </c>
      <c r="C21" s="442"/>
      <c r="D21" s="442"/>
      <c r="E21" s="442"/>
      <c r="F21" s="442"/>
      <c r="G21" s="442"/>
      <c r="H21" s="442"/>
    </row>
    <row r="22" spans="1:13" ht="20.25" x14ac:dyDescent="0.3">
      <c r="A22" s="201" t="s">
        <v>33</v>
      </c>
      <c r="B22" s="298" t="s">
        <v>135</v>
      </c>
    </row>
    <row r="23" spans="1:13" ht="20.25" x14ac:dyDescent="0.3">
      <c r="A23" s="201" t="s">
        <v>34</v>
      </c>
      <c r="B23" s="298" t="s">
        <v>136</v>
      </c>
    </row>
    <row r="24" spans="1:13" ht="18.75" x14ac:dyDescent="0.3">
      <c r="A24" s="201"/>
      <c r="B24" s="299"/>
    </row>
    <row r="25" spans="1:13" ht="18.75" x14ac:dyDescent="0.3">
      <c r="A25" s="202" t="s">
        <v>1</v>
      </c>
      <c r="B25" s="299"/>
    </row>
    <row r="26" spans="1:13" ht="26.25" customHeight="1" x14ac:dyDescent="0.4">
      <c r="A26" s="234" t="s">
        <v>4</v>
      </c>
      <c r="B26" s="441" t="s">
        <v>132</v>
      </c>
      <c r="C26" s="441"/>
    </row>
    <row r="27" spans="1:13" ht="26.25" customHeight="1" x14ac:dyDescent="0.4">
      <c r="A27" s="234" t="s">
        <v>44</v>
      </c>
      <c r="B27" s="242" t="s">
        <v>121</v>
      </c>
    </row>
    <row r="28" spans="1:13" ht="27" customHeight="1" x14ac:dyDescent="0.4">
      <c r="A28" s="234" t="s">
        <v>6</v>
      </c>
      <c r="B28" s="242">
        <v>99.8</v>
      </c>
    </row>
    <row r="29" spans="1:13" s="12" customFormat="1" ht="27" customHeight="1" x14ac:dyDescent="0.4">
      <c r="A29" s="234" t="s">
        <v>45</v>
      </c>
      <c r="B29" s="242">
        <v>0</v>
      </c>
      <c r="C29" s="451" t="s">
        <v>46</v>
      </c>
      <c r="D29" s="452"/>
      <c r="E29" s="452"/>
      <c r="F29" s="452"/>
      <c r="G29" s="453"/>
      <c r="I29" s="203"/>
      <c r="J29" s="203"/>
      <c r="K29" s="203"/>
    </row>
    <row r="30" spans="1:13" s="12" customFormat="1" ht="19.5" customHeight="1" x14ac:dyDescent="0.3">
      <c r="A30" s="234" t="s">
        <v>47</v>
      </c>
      <c r="B30" s="274">
        <f>B28-B29</f>
        <v>99.8</v>
      </c>
      <c r="C30" s="300"/>
      <c r="D30" s="300"/>
      <c r="E30" s="300"/>
      <c r="F30" s="300"/>
      <c r="G30" s="301"/>
      <c r="I30" s="203"/>
      <c r="J30" s="203"/>
      <c r="K30" s="203"/>
    </row>
    <row r="31" spans="1:13" s="12" customFormat="1" ht="27" customHeight="1" x14ac:dyDescent="0.4">
      <c r="A31" s="234" t="s">
        <v>48</v>
      </c>
      <c r="B31" s="243">
        <v>1</v>
      </c>
      <c r="C31" s="438" t="s">
        <v>49</v>
      </c>
      <c r="D31" s="439"/>
      <c r="E31" s="439"/>
      <c r="F31" s="439"/>
      <c r="G31" s="439"/>
      <c r="H31" s="440"/>
      <c r="I31" s="203"/>
      <c r="J31" s="203"/>
      <c r="K31" s="203"/>
    </row>
    <row r="32" spans="1:13" s="12" customFormat="1" ht="27" customHeight="1" x14ac:dyDescent="0.4">
      <c r="A32" s="234" t="s">
        <v>50</v>
      </c>
      <c r="B32" s="243">
        <v>1</v>
      </c>
      <c r="C32" s="438" t="s">
        <v>51</v>
      </c>
      <c r="D32" s="439"/>
      <c r="E32" s="439"/>
      <c r="F32" s="439"/>
      <c r="G32" s="439"/>
      <c r="H32" s="440"/>
      <c r="I32" s="203"/>
      <c r="J32" s="203"/>
      <c r="K32" s="205"/>
      <c r="L32" s="205"/>
      <c r="M32" s="302"/>
    </row>
    <row r="33" spans="1:13" s="12" customFormat="1" ht="17.25" customHeight="1" x14ac:dyDescent="0.3">
      <c r="A33" s="234"/>
      <c r="B33" s="204"/>
      <c r="C33" s="206"/>
      <c r="D33" s="206"/>
      <c r="E33" s="206"/>
      <c r="F33" s="206"/>
      <c r="G33" s="206"/>
      <c r="H33" s="206"/>
      <c r="I33" s="203"/>
      <c r="J33" s="203"/>
      <c r="K33" s="205"/>
      <c r="L33" s="205"/>
      <c r="M33" s="302"/>
    </row>
    <row r="34" spans="1:13" s="12" customFormat="1" ht="18.75" x14ac:dyDescent="0.3">
      <c r="A34" s="234" t="s">
        <v>52</v>
      </c>
      <c r="B34" s="207">
        <f>B31/B32</f>
        <v>1</v>
      </c>
      <c r="C34" s="201" t="s">
        <v>53</v>
      </c>
      <c r="D34" s="201"/>
      <c r="E34" s="201"/>
      <c r="F34" s="201"/>
      <c r="G34" s="201"/>
      <c r="I34" s="203"/>
      <c r="J34" s="203"/>
      <c r="K34" s="205"/>
      <c r="L34" s="205"/>
      <c r="M34" s="302"/>
    </row>
    <row r="35" spans="1:13" s="12" customFormat="1" ht="19.5" customHeight="1" x14ac:dyDescent="0.3">
      <c r="A35" s="234"/>
      <c r="B35" s="274"/>
      <c r="G35" s="201"/>
      <c r="I35" s="203"/>
      <c r="J35" s="203"/>
      <c r="K35" s="205"/>
      <c r="L35" s="205"/>
      <c r="M35" s="302"/>
    </row>
    <row r="36" spans="1:13" s="12" customFormat="1" ht="27" customHeight="1" x14ac:dyDescent="0.4">
      <c r="A36" s="303" t="s">
        <v>122</v>
      </c>
      <c r="B36" s="244">
        <v>100</v>
      </c>
      <c r="C36" s="201"/>
      <c r="D36" s="443" t="s">
        <v>55</v>
      </c>
      <c r="E36" s="467"/>
      <c r="F36" s="443" t="s">
        <v>56</v>
      </c>
      <c r="G36" s="444"/>
      <c r="I36" s="203"/>
      <c r="J36" s="203"/>
      <c r="K36" s="205"/>
      <c r="L36" s="205"/>
      <c r="M36" s="302"/>
    </row>
    <row r="37" spans="1:13" s="12" customFormat="1" ht="26.25" customHeight="1" x14ac:dyDescent="0.4">
      <c r="A37" s="304" t="s">
        <v>137</v>
      </c>
      <c r="B37" s="245">
        <v>1</v>
      </c>
      <c r="C37" s="208" t="s">
        <v>123</v>
      </c>
      <c r="D37" s="209" t="s">
        <v>59</v>
      </c>
      <c r="E37" s="225" t="s">
        <v>60</v>
      </c>
      <c r="F37" s="209" t="s">
        <v>59</v>
      </c>
      <c r="G37" s="210" t="s">
        <v>60</v>
      </c>
      <c r="I37" s="203"/>
      <c r="J37" s="203"/>
      <c r="K37" s="205"/>
      <c r="L37" s="205"/>
      <c r="M37" s="302"/>
    </row>
    <row r="38" spans="1:13" s="12" customFormat="1" ht="26.25" customHeight="1" x14ac:dyDescent="0.4">
      <c r="A38" s="304" t="s">
        <v>138</v>
      </c>
      <c r="B38" s="245">
        <v>1</v>
      </c>
      <c r="C38" s="305">
        <v>1</v>
      </c>
      <c r="D38" s="267">
        <v>2445795</v>
      </c>
      <c r="E38" s="306">
        <f>IF(ISBLANK(D38),"-",$D$48/$D$45*D38)</f>
        <v>2246284.5030115223</v>
      </c>
      <c r="F38" s="246">
        <v>2363403</v>
      </c>
      <c r="G38" s="307">
        <f>IF(ISBLANK(F38),"-",$D$48/$F$45*F38)</f>
        <v>2247877.8154315273</v>
      </c>
      <c r="I38" s="203"/>
      <c r="J38" s="203"/>
      <c r="K38" s="205"/>
      <c r="L38" s="205"/>
      <c r="M38" s="302"/>
    </row>
    <row r="39" spans="1:13" s="12" customFormat="1" ht="26.25" customHeight="1" x14ac:dyDescent="0.4">
      <c r="A39" s="304" t="s">
        <v>139</v>
      </c>
      <c r="B39" s="245">
        <v>1</v>
      </c>
      <c r="C39" s="236">
        <v>2</v>
      </c>
      <c r="D39" s="267">
        <v>2453895</v>
      </c>
      <c r="E39" s="308">
        <f>IF(ISBLANK(D39),"-",$D$48/$D$45*D39)</f>
        <v>2253723.7628327231</v>
      </c>
      <c r="F39" s="246">
        <v>2367855</v>
      </c>
      <c r="G39" s="309">
        <f>IF(ISBLANK(F39),"-",$D$48/$F$45*F39)</f>
        <v>2252112.1978175617</v>
      </c>
      <c r="I39" s="203"/>
      <c r="J39" s="203"/>
      <c r="K39" s="205"/>
      <c r="L39" s="205"/>
      <c r="M39" s="302"/>
    </row>
    <row r="40" spans="1:13" ht="26.25" customHeight="1" x14ac:dyDescent="0.4">
      <c r="A40" s="304" t="s">
        <v>140</v>
      </c>
      <c r="B40" s="245">
        <v>1</v>
      </c>
      <c r="C40" s="236">
        <v>3</v>
      </c>
      <c r="D40" s="267">
        <v>2446125</v>
      </c>
      <c r="E40" s="308">
        <f>IF(ISBLANK(D40),"-",$D$48/$D$45*D40)</f>
        <v>2246587.5839672009</v>
      </c>
      <c r="F40" s="246">
        <v>2364427</v>
      </c>
      <c r="G40" s="309">
        <f>IF(ISBLANK(F40),"-",$D$48/$F$45*F40)</f>
        <v>2248851.7614250807</v>
      </c>
      <c r="K40" s="205"/>
      <c r="L40" s="205"/>
      <c r="M40" s="201"/>
    </row>
    <row r="41" spans="1:13" ht="26.25" customHeight="1" x14ac:dyDescent="0.4">
      <c r="A41" s="304" t="s">
        <v>141</v>
      </c>
      <c r="B41" s="245">
        <v>1</v>
      </c>
      <c r="C41" s="310">
        <v>4</v>
      </c>
      <c r="D41" s="248">
        <v>2434205</v>
      </c>
      <c r="E41" s="311">
        <f>IF(ISBLANK(D41),"-",$D$48/$D$45*D41)</f>
        <v>2235639.9324772367</v>
      </c>
      <c r="F41" s="248">
        <v>2353511</v>
      </c>
      <c r="G41" s="312">
        <f>IF(ISBLANK(F41),"-",$D$48/$F$45*F41)</f>
        <v>2238469.3449547407</v>
      </c>
      <c r="K41" s="205"/>
      <c r="L41" s="205"/>
      <c r="M41" s="201"/>
    </row>
    <row r="42" spans="1:13" ht="27" customHeight="1" thickBot="1" x14ac:dyDescent="0.45">
      <c r="A42" s="304" t="s">
        <v>142</v>
      </c>
      <c r="B42" s="245">
        <v>1</v>
      </c>
      <c r="C42" s="313" t="s">
        <v>67</v>
      </c>
      <c r="D42" s="211">
        <f>AVERAGE(D38:D41)</f>
        <v>2445005</v>
      </c>
      <c r="E42" s="216">
        <f>AVERAGE(E38:E41)</f>
        <v>2245558.9455721704</v>
      </c>
      <c r="F42" s="211">
        <f>AVERAGE(F38:F41)</f>
        <v>2362299</v>
      </c>
      <c r="G42" s="212">
        <f>AVERAGE(G38:G41)</f>
        <v>2246827.7799072275</v>
      </c>
      <c r="H42" s="279"/>
    </row>
    <row r="43" spans="1:13" ht="26.25" customHeight="1" x14ac:dyDescent="0.4">
      <c r="A43" s="304" t="s">
        <v>143</v>
      </c>
      <c r="B43" s="242">
        <v>1</v>
      </c>
      <c r="C43" s="314" t="s">
        <v>109</v>
      </c>
      <c r="D43" s="249">
        <v>21.82</v>
      </c>
      <c r="E43" s="201"/>
      <c r="F43" s="249">
        <v>21.07</v>
      </c>
      <c r="H43" s="279"/>
    </row>
    <row r="44" spans="1:13" ht="26.25" customHeight="1" x14ac:dyDescent="0.4">
      <c r="A44" s="304" t="s">
        <v>144</v>
      </c>
      <c r="B44" s="242">
        <v>1</v>
      </c>
      <c r="C44" s="315" t="s">
        <v>110</v>
      </c>
      <c r="D44" s="316">
        <f>D43*$B$34</f>
        <v>21.82</v>
      </c>
      <c r="E44" s="274"/>
      <c r="F44" s="317">
        <f>F43*$B$34</f>
        <v>21.07</v>
      </c>
      <c r="H44" s="279"/>
    </row>
    <row r="45" spans="1:13" ht="19.5" customHeight="1" x14ac:dyDescent="0.3">
      <c r="A45" s="304" t="s">
        <v>72</v>
      </c>
      <c r="B45" s="274">
        <f>(B44/B43)*(B42/B41)*(B40/B39)*(B38/B37)*B36</f>
        <v>100</v>
      </c>
      <c r="C45" s="315" t="s">
        <v>73</v>
      </c>
      <c r="D45" s="318">
        <f>D44*$B$30/100</f>
        <v>21.77636</v>
      </c>
      <c r="E45" s="204"/>
      <c r="F45" s="319">
        <f>F44*$B$30/100</f>
        <v>21.02786</v>
      </c>
      <c r="H45" s="279"/>
    </row>
    <row r="46" spans="1:13" ht="19.5" customHeight="1" x14ac:dyDescent="0.3">
      <c r="A46" s="445" t="s">
        <v>74</v>
      </c>
      <c r="B46" s="446"/>
      <c r="C46" s="315" t="s">
        <v>75</v>
      </c>
      <c r="D46" s="316">
        <f>D45/$B$45</f>
        <v>0.2177636</v>
      </c>
      <c r="E46" s="204"/>
      <c r="F46" s="320">
        <f>F45/$B$45</f>
        <v>0.21027860000000001</v>
      </c>
      <c r="H46" s="279"/>
    </row>
    <row r="47" spans="1:13" ht="27" customHeight="1" x14ac:dyDescent="0.4">
      <c r="A47" s="447"/>
      <c r="B47" s="448"/>
      <c r="C47" s="315" t="s">
        <v>124</v>
      </c>
      <c r="D47" s="250">
        <v>0.2</v>
      </c>
      <c r="F47" s="321"/>
      <c r="H47" s="279"/>
    </row>
    <row r="48" spans="1:13" ht="18.75" x14ac:dyDescent="0.3">
      <c r="C48" s="315" t="s">
        <v>77</v>
      </c>
      <c r="D48" s="316">
        <f>D47*$B$45</f>
        <v>20</v>
      </c>
      <c r="F48" s="321"/>
      <c r="H48" s="279"/>
    </row>
    <row r="49" spans="1:11" ht="19.5" customHeight="1" x14ac:dyDescent="0.3">
      <c r="C49" s="322" t="s">
        <v>78</v>
      </c>
      <c r="D49" s="323">
        <f>D48/B34</f>
        <v>20</v>
      </c>
      <c r="F49" s="223"/>
      <c r="H49" s="279"/>
    </row>
    <row r="50" spans="1:11" ht="18.75" x14ac:dyDescent="0.3">
      <c r="C50" s="324" t="s">
        <v>79</v>
      </c>
      <c r="D50" s="237">
        <f>AVERAGE(E38:E41,G38:G41)</f>
        <v>2246193.362739699</v>
      </c>
      <c r="F50" s="223"/>
      <c r="H50" s="279"/>
    </row>
    <row r="51" spans="1:11" ht="18.75" x14ac:dyDescent="0.3">
      <c r="C51" s="325" t="s">
        <v>80</v>
      </c>
      <c r="D51" s="218">
        <f>STDEV(E38:E41,G38:G41)/D50</f>
        <v>2.7794591369649192E-3</v>
      </c>
      <c r="F51" s="223"/>
    </row>
    <row r="52" spans="1:11" ht="19.5" customHeight="1" x14ac:dyDescent="0.3">
      <c r="C52" s="326" t="s">
        <v>19</v>
      </c>
      <c r="D52" s="219">
        <f>COUNT(E38:E41,G38:G41)</f>
        <v>8</v>
      </c>
      <c r="F52" s="223"/>
    </row>
    <row r="54" spans="1:11" ht="18.75" x14ac:dyDescent="0.3">
      <c r="A54" s="200" t="s">
        <v>1</v>
      </c>
      <c r="B54" s="213" t="s">
        <v>81</v>
      </c>
    </row>
    <row r="55" spans="1:11" ht="18.75" x14ac:dyDescent="0.3">
      <c r="A55" s="201" t="s">
        <v>82</v>
      </c>
      <c r="B55" s="213" t="str">
        <f>B21</f>
        <v>Each dispersible tablet contains Artemether 20mg and Lumefantrine 120mg</v>
      </c>
    </row>
    <row r="56" spans="1:11" ht="26.25" customHeight="1" x14ac:dyDescent="0.4">
      <c r="A56" s="213" t="s">
        <v>83</v>
      </c>
      <c r="B56" s="242">
        <v>20</v>
      </c>
      <c r="C56" s="201" t="str">
        <f>B20</f>
        <v>Artemether 20mg, Lumefantrine 120mg</v>
      </c>
      <c r="H56" s="274"/>
    </row>
    <row r="57" spans="1:11" ht="18.75" x14ac:dyDescent="0.3">
      <c r="A57" s="213" t="s">
        <v>84</v>
      </c>
      <c r="B57" s="264">
        <f>Uniformity!C46</f>
        <v>298.47550000000001</v>
      </c>
      <c r="H57" s="274"/>
    </row>
    <row r="58" spans="1:11" ht="19.5" customHeight="1" x14ac:dyDescent="0.3">
      <c r="H58" s="274"/>
    </row>
    <row r="59" spans="1:11" s="12" customFormat="1" ht="27" customHeight="1" x14ac:dyDescent="0.4">
      <c r="A59" s="303" t="s">
        <v>125</v>
      </c>
      <c r="B59" s="244">
        <v>50</v>
      </c>
      <c r="C59" s="201"/>
      <c r="D59" s="215" t="s">
        <v>86</v>
      </c>
      <c r="E59" s="214" t="s">
        <v>58</v>
      </c>
      <c r="F59" s="214" t="s">
        <v>59</v>
      </c>
      <c r="G59" s="214" t="s">
        <v>87</v>
      </c>
      <c r="H59" s="208" t="s">
        <v>88</v>
      </c>
      <c r="K59" s="203"/>
    </row>
    <row r="60" spans="1:11" s="12" customFormat="1" ht="22.5" customHeight="1" x14ac:dyDescent="0.4">
      <c r="A60" s="304" t="s">
        <v>145</v>
      </c>
      <c r="B60" s="245">
        <v>1</v>
      </c>
      <c r="C60" s="460" t="s">
        <v>90</v>
      </c>
      <c r="D60" s="464">
        <v>151.91</v>
      </c>
      <c r="E60" s="214">
        <v>1</v>
      </c>
      <c r="F60" s="251">
        <v>2269940</v>
      </c>
      <c r="G60" s="327">
        <f>IF(ISBLANK(F60),"-",(F60/$D$50*$D$47*$B$68)*($B$57/$D$60))</f>
        <v>19.855899359957789</v>
      </c>
      <c r="H60" s="328">
        <f t="shared" ref="H60:H71" si="0">IF(ISBLANK(F60),"-",G60/$B$56)</f>
        <v>0.99279496799788947</v>
      </c>
      <c r="K60" s="203"/>
    </row>
    <row r="61" spans="1:11" s="12" customFormat="1" ht="26.25" customHeight="1" x14ac:dyDescent="0.4">
      <c r="A61" s="304" t="s">
        <v>146</v>
      </c>
      <c r="B61" s="245">
        <v>1</v>
      </c>
      <c r="C61" s="461"/>
      <c r="D61" s="465"/>
      <c r="E61" s="329">
        <v>2</v>
      </c>
      <c r="F61" s="247">
        <v>2265458</v>
      </c>
      <c r="G61" s="330">
        <f>IF(ISBLANK(F61),"-",(F61/$D$50*$D$47*$B$68)*($B$57/$D$60))</f>
        <v>19.816693856318334</v>
      </c>
      <c r="H61" s="331">
        <f t="shared" si="0"/>
        <v>0.99083469281591674</v>
      </c>
      <c r="K61" s="203"/>
    </row>
    <row r="62" spans="1:11" s="12" customFormat="1" ht="26.25" customHeight="1" x14ac:dyDescent="0.4">
      <c r="A62" s="304" t="s">
        <v>147</v>
      </c>
      <c r="B62" s="245">
        <v>1</v>
      </c>
      <c r="C62" s="461"/>
      <c r="D62" s="465"/>
      <c r="E62" s="329">
        <v>3</v>
      </c>
      <c r="F62" s="198">
        <v>2289467</v>
      </c>
      <c r="G62" s="330">
        <f>IF(ISBLANK(F62),"-",(F62/$D$50*$D$47*$B$68)*($B$57/$D$60))</f>
        <v>20.026708344689496</v>
      </c>
      <c r="H62" s="331">
        <f t="shared" si="0"/>
        <v>1.0013354172344748</v>
      </c>
      <c r="K62" s="203"/>
    </row>
    <row r="63" spans="1:11" ht="21" customHeight="1" x14ac:dyDescent="0.4">
      <c r="A63" s="304" t="s">
        <v>148</v>
      </c>
      <c r="B63" s="245">
        <v>1</v>
      </c>
      <c r="C63" s="462"/>
      <c r="D63" s="466"/>
      <c r="E63" s="332">
        <v>4</v>
      </c>
      <c r="F63" s="252"/>
      <c r="G63" s="330" t="str">
        <f>IF(ISBLANK(F63),"-",(F63/$D$50*$D$47*$B$68)*($B$57/$D$60))</f>
        <v>-</v>
      </c>
      <c r="H63" s="331" t="str">
        <f t="shared" si="0"/>
        <v>-</v>
      </c>
    </row>
    <row r="64" spans="1:11" ht="26.25" customHeight="1" x14ac:dyDescent="0.4">
      <c r="A64" s="304" t="s">
        <v>149</v>
      </c>
      <c r="B64" s="245">
        <v>1</v>
      </c>
      <c r="C64" s="460" t="s">
        <v>95</v>
      </c>
      <c r="D64" s="464">
        <v>154.13999999999999</v>
      </c>
      <c r="E64" s="214">
        <v>1</v>
      </c>
      <c r="F64" s="251">
        <v>2309443</v>
      </c>
      <c r="G64" s="215">
        <f>IF(ISBLANK(F64),"-",(F64/$D$50*$D$47*$B$68)*($B$57/$D$64))</f>
        <v>19.909183154034544</v>
      </c>
      <c r="H64" s="333">
        <f t="shared" si="0"/>
        <v>0.99545915770172722</v>
      </c>
    </row>
    <row r="65" spans="1:8" ht="26.25" customHeight="1" x14ac:dyDescent="0.4">
      <c r="A65" s="304" t="s">
        <v>150</v>
      </c>
      <c r="B65" s="245">
        <v>1</v>
      </c>
      <c r="C65" s="461"/>
      <c r="D65" s="465"/>
      <c r="E65" s="329">
        <v>2</v>
      </c>
      <c r="F65" s="247">
        <v>2312512</v>
      </c>
      <c r="G65" s="334">
        <f>IF(ISBLANK(F65),"-",(F65/$D$50*$D$47*$B$68)*($B$57/$D$64))</f>
        <v>19.935640305434138</v>
      </c>
      <c r="H65" s="335">
        <f t="shared" si="0"/>
        <v>0.99678201527170684</v>
      </c>
    </row>
    <row r="66" spans="1:8" ht="26.25" customHeight="1" x14ac:dyDescent="0.4">
      <c r="A66" s="304" t="s">
        <v>151</v>
      </c>
      <c r="B66" s="245">
        <v>1</v>
      </c>
      <c r="C66" s="461"/>
      <c r="D66" s="465"/>
      <c r="E66" s="329">
        <v>3</v>
      </c>
      <c r="F66" s="247">
        <v>2334468</v>
      </c>
      <c r="G66" s="334">
        <f>IF(ISBLANK(F66),"-",(F66/$D$50*$D$47*$B$68)*($B$57/$D$64))</f>
        <v>20.124917990715822</v>
      </c>
      <c r="H66" s="335">
        <f t="shared" si="0"/>
        <v>1.006245899535791</v>
      </c>
    </row>
    <row r="67" spans="1:8" ht="21" customHeight="1" x14ac:dyDescent="0.4">
      <c r="A67" s="304" t="s">
        <v>152</v>
      </c>
      <c r="B67" s="245">
        <v>1</v>
      </c>
      <c r="C67" s="462"/>
      <c r="D67" s="466"/>
      <c r="E67" s="332">
        <v>4</v>
      </c>
      <c r="F67" s="252"/>
      <c r="G67" s="336" t="str">
        <f>IF(ISBLANK(F67),"-",(F67/$D$50*$D$47*$B$68)*($B$57/$D$64))</f>
        <v>-</v>
      </c>
      <c r="H67" s="337" t="str">
        <f t="shared" si="0"/>
        <v>-</v>
      </c>
    </row>
    <row r="68" spans="1:8" ht="21.75" customHeight="1" x14ac:dyDescent="0.4">
      <c r="A68" s="304" t="s">
        <v>99</v>
      </c>
      <c r="B68" s="236">
        <f>(B67/B66)*(B65/B64)*(B63/B62)*(B61/B60)*B59</f>
        <v>50</v>
      </c>
      <c r="C68" s="460" t="s">
        <v>100</v>
      </c>
      <c r="D68" s="464">
        <v>147.88</v>
      </c>
      <c r="E68" s="214">
        <v>1</v>
      </c>
      <c r="F68" s="251">
        <v>2252031</v>
      </c>
      <c r="G68" s="215">
        <f>IF(ISBLANK(F68),"-",(F68/$D$50*$D$47*$B$68)*($B$57/$D$68))</f>
        <v>20.236083898105708</v>
      </c>
      <c r="H68" s="331">
        <f t="shared" si="0"/>
        <v>1.0118041949052854</v>
      </c>
    </row>
    <row r="69" spans="1:8" ht="21.75" customHeight="1" x14ac:dyDescent="0.4">
      <c r="A69" s="338" t="s">
        <v>101</v>
      </c>
      <c r="B69" s="339">
        <f>D47*B68/B56*B57</f>
        <v>149.23775000000001</v>
      </c>
      <c r="C69" s="461"/>
      <c r="D69" s="465"/>
      <c r="E69" s="329">
        <v>2</v>
      </c>
      <c r="F69" s="247">
        <v>2241905</v>
      </c>
      <c r="G69" s="334">
        <f>IF(ISBLANK(F69),"-",(F69/$D$50*$D$47*$B$68)*($B$57/$D$68))</f>
        <v>20.145094659701702</v>
      </c>
      <c r="H69" s="331">
        <f t="shared" si="0"/>
        <v>1.0072547329850852</v>
      </c>
    </row>
    <row r="70" spans="1:8" ht="22.5" customHeight="1" x14ac:dyDescent="0.4">
      <c r="A70" s="454" t="s">
        <v>74</v>
      </c>
      <c r="B70" s="455"/>
      <c r="C70" s="461"/>
      <c r="D70" s="465"/>
      <c r="E70" s="329">
        <v>3</v>
      </c>
      <c r="F70" s="247">
        <v>2255332</v>
      </c>
      <c r="G70" s="334">
        <f>IF(ISBLANK(F70),"-",(F70/$D$50*$D$47*$B$68)*($B$57/$D$68))</f>
        <v>20.265745706911908</v>
      </c>
      <c r="H70" s="331">
        <f t="shared" si="0"/>
        <v>1.0132872853455954</v>
      </c>
    </row>
    <row r="71" spans="1:8" ht="21.75" customHeight="1" x14ac:dyDescent="0.4">
      <c r="A71" s="456"/>
      <c r="B71" s="457"/>
      <c r="C71" s="463"/>
      <c r="D71" s="466"/>
      <c r="E71" s="332">
        <v>4</v>
      </c>
      <c r="F71" s="252"/>
      <c r="G71" s="336" t="str">
        <f>IF(ISBLANK(F71),"-",(F71/$D$50*$D$47*$B$68)*($B$57/$D$68))</f>
        <v>-</v>
      </c>
      <c r="H71" s="340" t="str">
        <f t="shared" si="0"/>
        <v>-</v>
      </c>
    </row>
    <row r="72" spans="1:8" ht="26.25" customHeight="1" x14ac:dyDescent="0.4">
      <c r="A72" s="274"/>
      <c r="B72" s="274"/>
      <c r="C72" s="274"/>
      <c r="D72" s="274"/>
      <c r="E72" s="274"/>
      <c r="F72" s="274"/>
      <c r="G72" s="341" t="s">
        <v>67</v>
      </c>
      <c r="H72" s="253">
        <f>AVERAGE(H60:H71)</f>
        <v>1.0017553737548301</v>
      </c>
    </row>
    <row r="73" spans="1:8" ht="26.25" customHeight="1" x14ac:dyDescent="0.4">
      <c r="C73" s="274"/>
      <c r="D73" s="274"/>
      <c r="E73" s="274"/>
      <c r="F73" s="274"/>
      <c r="G73" s="325" t="s">
        <v>80</v>
      </c>
      <c r="H73" s="254">
        <f>STDEV(H60:H71)/H72</f>
        <v>8.2655475122433378E-3</v>
      </c>
    </row>
    <row r="74" spans="1:8" ht="27" customHeight="1" x14ac:dyDescent="0.4">
      <c r="A74" s="274"/>
      <c r="B74" s="274"/>
      <c r="C74" s="274"/>
      <c r="D74" s="274"/>
      <c r="E74" s="204"/>
      <c r="F74" s="274"/>
      <c r="G74" s="326" t="s">
        <v>19</v>
      </c>
      <c r="H74" s="255">
        <f>COUNT(H60:H71)</f>
        <v>9</v>
      </c>
    </row>
    <row r="75" spans="1:8" ht="18.75" x14ac:dyDescent="0.3">
      <c r="A75" s="274"/>
      <c r="B75" s="274"/>
      <c r="C75" s="274"/>
      <c r="D75" s="274"/>
      <c r="E75" s="204"/>
      <c r="F75" s="274"/>
      <c r="G75" s="234"/>
      <c r="H75" s="274"/>
    </row>
    <row r="76" spans="1:8" ht="18.75" x14ac:dyDescent="0.3">
      <c r="A76" s="234" t="s">
        <v>126</v>
      </c>
      <c r="B76" s="234" t="s">
        <v>119</v>
      </c>
      <c r="C76" s="458" t="str">
        <f>B20</f>
        <v>Artemether 20mg, Lumefantrine 120mg</v>
      </c>
      <c r="D76" s="458"/>
      <c r="E76" s="201" t="s">
        <v>104</v>
      </c>
      <c r="F76" s="201"/>
      <c r="G76" s="241">
        <f>H72</f>
        <v>1.0017553737548301</v>
      </c>
      <c r="H76" s="274"/>
    </row>
    <row r="77" spans="1:8" ht="18.75" x14ac:dyDescent="0.3">
      <c r="A77" s="274"/>
      <c r="B77" s="274"/>
      <c r="C77" s="274"/>
      <c r="D77" s="274"/>
      <c r="E77" s="204"/>
      <c r="F77" s="274"/>
      <c r="G77" s="234"/>
      <c r="H77" s="274"/>
    </row>
    <row r="78" spans="1:8" ht="26.25" customHeight="1" x14ac:dyDescent="0.4">
      <c r="A78" s="202" t="s">
        <v>127</v>
      </c>
      <c r="B78" s="202" t="s">
        <v>128</v>
      </c>
      <c r="D78" s="259" t="s">
        <v>129</v>
      </c>
    </row>
    <row r="79" spans="1:8" ht="18.75" x14ac:dyDescent="0.3">
      <c r="A79" s="202"/>
      <c r="B79" s="202"/>
    </row>
    <row r="80" spans="1:8" ht="26.25" customHeight="1" x14ac:dyDescent="0.4">
      <c r="A80" s="234" t="s">
        <v>4</v>
      </c>
      <c r="B80" s="441" t="str">
        <f>B26</f>
        <v>ARTEMETHER</v>
      </c>
      <c r="C80" s="441"/>
    </row>
    <row r="81" spans="1:11" ht="26.25" customHeight="1" x14ac:dyDescent="0.4">
      <c r="A81" s="234" t="s">
        <v>44</v>
      </c>
      <c r="B81" s="242" t="str">
        <f>B27</f>
        <v>F0J018</v>
      </c>
    </row>
    <row r="82" spans="1:11" ht="27" customHeight="1" x14ac:dyDescent="0.4">
      <c r="A82" s="234" t="s">
        <v>6</v>
      </c>
      <c r="B82" s="242">
        <f>B28</f>
        <v>99.8</v>
      </c>
    </row>
    <row r="83" spans="1:11" s="12" customFormat="1" ht="27" customHeight="1" x14ac:dyDescent="0.4">
      <c r="A83" s="234" t="s">
        <v>45</v>
      </c>
      <c r="B83" s="242">
        <f>B29</f>
        <v>0</v>
      </c>
      <c r="C83" s="451" t="s">
        <v>46</v>
      </c>
      <c r="D83" s="452"/>
      <c r="E83" s="452"/>
      <c r="F83" s="452"/>
      <c r="G83" s="453"/>
      <c r="I83" s="203"/>
      <c r="J83" s="203"/>
      <c r="K83" s="203"/>
    </row>
    <row r="84" spans="1:11" s="12" customFormat="1" ht="19.5" customHeight="1" x14ac:dyDescent="0.3">
      <c r="A84" s="234" t="s">
        <v>47</v>
      </c>
      <c r="B84" s="274">
        <f>B82-B83</f>
        <v>99.8</v>
      </c>
      <c r="C84" s="300"/>
      <c r="D84" s="300"/>
      <c r="E84" s="300"/>
      <c r="F84" s="300"/>
      <c r="G84" s="301"/>
      <c r="I84" s="203"/>
      <c r="J84" s="203"/>
      <c r="K84" s="203"/>
    </row>
    <row r="85" spans="1:11" s="12" customFormat="1" ht="27" customHeight="1" x14ac:dyDescent="0.4">
      <c r="A85" s="234" t="s">
        <v>48</v>
      </c>
      <c r="B85" s="243">
        <v>1</v>
      </c>
      <c r="C85" s="438" t="s">
        <v>49</v>
      </c>
      <c r="D85" s="439"/>
      <c r="E85" s="439"/>
      <c r="F85" s="439"/>
      <c r="G85" s="439"/>
      <c r="H85" s="440"/>
      <c r="I85" s="203"/>
      <c r="J85" s="203"/>
      <c r="K85" s="203"/>
    </row>
    <row r="86" spans="1:11" s="12" customFormat="1" ht="27" customHeight="1" x14ac:dyDescent="0.4">
      <c r="A86" s="234" t="s">
        <v>50</v>
      </c>
      <c r="B86" s="243">
        <v>1</v>
      </c>
      <c r="C86" s="438" t="s">
        <v>51</v>
      </c>
      <c r="D86" s="439"/>
      <c r="E86" s="439"/>
      <c r="F86" s="439"/>
      <c r="G86" s="439"/>
      <c r="H86" s="440"/>
      <c r="I86" s="203"/>
      <c r="J86" s="203"/>
      <c r="K86" s="203"/>
    </row>
    <row r="87" spans="1:11" s="12" customFormat="1" ht="18.75" x14ac:dyDescent="0.3">
      <c r="A87" s="234"/>
      <c r="B87" s="274"/>
      <c r="C87" s="300"/>
      <c r="D87" s="300"/>
      <c r="E87" s="300"/>
      <c r="F87" s="300"/>
      <c r="G87" s="301"/>
      <c r="I87" s="203"/>
      <c r="J87" s="203"/>
      <c r="K87" s="203"/>
    </row>
    <row r="88" spans="1:11" s="12" customFormat="1" ht="18.75" x14ac:dyDescent="0.3">
      <c r="A88" s="234" t="s">
        <v>52</v>
      </c>
      <c r="B88" s="207">
        <f>B85/B86</f>
        <v>1</v>
      </c>
      <c r="C88" s="201" t="s">
        <v>53</v>
      </c>
      <c r="D88" s="300"/>
      <c r="E88" s="300"/>
      <c r="F88" s="300"/>
      <c r="G88" s="301"/>
      <c r="I88" s="203"/>
      <c r="J88" s="203"/>
      <c r="K88" s="203"/>
    </row>
    <row r="89" spans="1:11" ht="19.5" customHeight="1" x14ac:dyDescent="0.3">
      <c r="A89" s="202"/>
      <c r="B89" s="202"/>
    </row>
    <row r="90" spans="1:11" ht="27" customHeight="1" x14ac:dyDescent="0.4">
      <c r="A90" s="303" t="s">
        <v>122</v>
      </c>
      <c r="B90" s="244">
        <v>100</v>
      </c>
      <c r="D90" s="272" t="s">
        <v>55</v>
      </c>
      <c r="E90" s="276"/>
      <c r="F90" s="443" t="s">
        <v>56</v>
      </c>
      <c r="G90" s="444"/>
    </row>
    <row r="91" spans="1:11" ht="26.25" customHeight="1" x14ac:dyDescent="0.4">
      <c r="A91" s="304" t="s">
        <v>137</v>
      </c>
      <c r="B91" s="245">
        <v>10</v>
      </c>
      <c r="C91" s="275" t="s">
        <v>123</v>
      </c>
      <c r="D91" s="209" t="s">
        <v>59</v>
      </c>
      <c r="E91" s="225" t="s">
        <v>60</v>
      </c>
      <c r="F91" s="209" t="s">
        <v>59</v>
      </c>
      <c r="G91" s="210" t="s">
        <v>60</v>
      </c>
    </row>
    <row r="92" spans="1:11" ht="26.25" customHeight="1" x14ac:dyDescent="0.4">
      <c r="A92" s="304" t="s">
        <v>138</v>
      </c>
      <c r="B92" s="245">
        <v>100</v>
      </c>
      <c r="C92" s="342">
        <v>1</v>
      </c>
      <c r="D92" s="246">
        <v>972650</v>
      </c>
      <c r="E92" s="306">
        <f>IF(ISBLANK(D92),"-",$D$102/$D$99*D92)</f>
        <v>885999.27126981237</v>
      </c>
      <c r="F92" s="246">
        <v>939657</v>
      </c>
      <c r="G92" s="307">
        <f>IF(ISBLANK(F92),"-",$D$102/$F$99*F92)</f>
        <v>892032.28816704941</v>
      </c>
    </row>
    <row r="93" spans="1:11" ht="26.25" customHeight="1" x14ac:dyDescent="0.4">
      <c r="A93" s="304" t="s">
        <v>139</v>
      </c>
      <c r="B93" s="245">
        <v>1</v>
      </c>
      <c r="C93" s="274">
        <v>2</v>
      </c>
      <c r="D93" s="247">
        <v>976166</v>
      </c>
      <c r="E93" s="308">
        <f>IF(ISBLANK(D93),"-",$D$102/$D$99*D93)</f>
        <v>889202.04044452542</v>
      </c>
      <c r="F93" s="247">
        <v>937045</v>
      </c>
      <c r="G93" s="309">
        <f>IF(ISBLANK(F93),"-",$D$102/$F$99*F93)</f>
        <v>889552.67237459286</v>
      </c>
    </row>
    <row r="94" spans="1:11" ht="26.25" customHeight="1" x14ac:dyDescent="0.4">
      <c r="A94" s="304" t="s">
        <v>140</v>
      </c>
      <c r="B94" s="245">
        <v>1</v>
      </c>
      <c r="C94" s="274">
        <v>3</v>
      </c>
      <c r="D94" s="247">
        <v>973510</v>
      </c>
      <c r="E94" s="308">
        <f>IF(ISBLANK(D94),"-",$D$102/$D$99*D94)</f>
        <v>886782.65622153401</v>
      </c>
      <c r="F94" s="247">
        <v>941323</v>
      </c>
      <c r="G94" s="309">
        <f>IF(ISBLANK(F94),"-",$D$102/$F$99*F94)</f>
        <v>893613.85015412164</v>
      </c>
    </row>
    <row r="95" spans="1:11" ht="26.25" customHeight="1" x14ac:dyDescent="0.4">
      <c r="A95" s="304" t="s">
        <v>141</v>
      </c>
      <c r="B95" s="245">
        <v>1</v>
      </c>
      <c r="C95" s="343">
        <v>4</v>
      </c>
      <c r="D95" s="248"/>
      <c r="E95" s="311" t="str">
        <f>IF(ISBLANK(D95),"-",$D$102/$D$99*D95)</f>
        <v>-</v>
      </c>
      <c r="F95" s="256"/>
      <c r="G95" s="312" t="str">
        <f>IF(ISBLANK(F95),"-",$D$102/$F$99*F95)</f>
        <v>-</v>
      </c>
    </row>
    <row r="96" spans="1:11" ht="27" customHeight="1" x14ac:dyDescent="0.4">
      <c r="A96" s="304" t="s">
        <v>142</v>
      </c>
      <c r="B96" s="245">
        <v>1</v>
      </c>
      <c r="C96" s="234" t="s">
        <v>67</v>
      </c>
      <c r="D96" s="238">
        <f>AVERAGE(D92:D95)</f>
        <v>974108.66666666663</v>
      </c>
      <c r="E96" s="216">
        <f>AVERAGE(E92:E95)</f>
        <v>887327.98931195727</v>
      </c>
      <c r="F96" s="224">
        <f>AVERAGE(F92:F95)</f>
        <v>939341.66666666663</v>
      </c>
      <c r="G96" s="232">
        <f>AVERAGE(G92:G95)</f>
        <v>891732.93689858785</v>
      </c>
    </row>
    <row r="97" spans="1:9" ht="26.25" customHeight="1" x14ac:dyDescent="0.4">
      <c r="A97" s="304" t="s">
        <v>143</v>
      </c>
      <c r="B97" s="242">
        <v>1</v>
      </c>
      <c r="C97" s="314" t="s">
        <v>109</v>
      </c>
      <c r="D97" s="269">
        <v>22</v>
      </c>
      <c r="E97" s="201"/>
      <c r="F97" s="249">
        <v>21.11</v>
      </c>
    </row>
    <row r="98" spans="1:9" ht="26.25" customHeight="1" x14ac:dyDescent="0.4">
      <c r="A98" s="304" t="s">
        <v>144</v>
      </c>
      <c r="B98" s="242">
        <v>1</v>
      </c>
      <c r="C98" s="315" t="s">
        <v>110</v>
      </c>
      <c r="D98" s="316">
        <f>D97*B88</f>
        <v>22</v>
      </c>
      <c r="E98" s="274"/>
      <c r="F98" s="317">
        <f>F97*B88</f>
        <v>21.11</v>
      </c>
    </row>
    <row r="99" spans="1:9" ht="19.5" customHeight="1" x14ac:dyDescent="0.3">
      <c r="A99" s="304" t="s">
        <v>72</v>
      </c>
      <c r="B99" s="274">
        <f>(B98/B97)*(B96/B95)*(B94/B93)*(B92/B91)*B90</f>
        <v>1000</v>
      </c>
      <c r="C99" s="315" t="s">
        <v>73</v>
      </c>
      <c r="D99" s="318">
        <f>D98*$B$84/100</f>
        <v>21.956</v>
      </c>
      <c r="E99" s="204"/>
      <c r="F99" s="319">
        <f>F98*$B$84/100</f>
        <v>21.067779999999999</v>
      </c>
    </row>
    <row r="100" spans="1:9" ht="19.5" customHeight="1" x14ac:dyDescent="0.3">
      <c r="A100" s="445" t="s">
        <v>74</v>
      </c>
      <c r="B100" s="446"/>
      <c r="C100" s="315" t="s">
        <v>75</v>
      </c>
      <c r="D100" s="316">
        <f>D99/$B$99</f>
        <v>2.1956E-2</v>
      </c>
      <c r="E100" s="204"/>
      <c r="F100" s="320">
        <f>F99/$B$99</f>
        <v>2.1067779999999998E-2</v>
      </c>
      <c r="H100" s="279"/>
    </row>
    <row r="101" spans="1:9" ht="19.5" customHeight="1" x14ac:dyDescent="0.3">
      <c r="A101" s="447"/>
      <c r="B101" s="448"/>
      <c r="C101" s="315" t="s">
        <v>124</v>
      </c>
      <c r="D101" s="318">
        <f>$B$56/$B$117</f>
        <v>0.02</v>
      </c>
      <c r="F101" s="321"/>
      <c r="G101" s="344"/>
      <c r="H101" s="279"/>
    </row>
    <row r="102" spans="1:9" ht="18.75" x14ac:dyDescent="0.3">
      <c r="C102" s="315" t="s">
        <v>77</v>
      </c>
      <c r="D102" s="316">
        <f>D101*$B$99</f>
        <v>20</v>
      </c>
      <c r="F102" s="423">
        <f>22/100*10/100</f>
        <v>2.2000000000000002E-2</v>
      </c>
      <c r="H102" s="279"/>
    </row>
    <row r="103" spans="1:9" ht="19.5" customHeight="1" x14ac:dyDescent="0.3">
      <c r="C103" s="322" t="s">
        <v>78</v>
      </c>
      <c r="D103" s="323">
        <f>D102/B34</f>
        <v>20</v>
      </c>
      <c r="F103" s="423">
        <f>20/1000</f>
        <v>0.02</v>
      </c>
      <c r="H103" s="279"/>
      <c r="I103" s="217"/>
    </row>
    <row r="104" spans="1:9" ht="18.75" x14ac:dyDescent="0.3">
      <c r="C104" s="324" t="s">
        <v>113</v>
      </c>
      <c r="D104" s="237">
        <f>AVERAGE(E92:E95,G92:G95)</f>
        <v>889530.46310527262</v>
      </c>
      <c r="F104" s="223"/>
      <c r="G104" s="344"/>
      <c r="H104" s="279"/>
      <c r="I104" s="345"/>
    </row>
    <row r="105" spans="1:9" ht="18.75" x14ac:dyDescent="0.3">
      <c r="C105" s="325" t="s">
        <v>80</v>
      </c>
      <c r="D105" s="218">
        <f>STDEV(E92:E95,G92:G95)/D104</f>
        <v>3.299116851610738E-3</v>
      </c>
      <c r="F105" s="223"/>
      <c r="H105" s="279"/>
      <c r="I105" s="345"/>
    </row>
    <row r="106" spans="1:9" ht="19.5" customHeight="1" x14ac:dyDescent="0.3">
      <c r="C106" s="326" t="s">
        <v>19</v>
      </c>
      <c r="D106" s="219">
        <f>COUNT(E92:E95,G92:G95)</f>
        <v>6</v>
      </c>
      <c r="F106" s="223"/>
      <c r="H106" s="279"/>
      <c r="I106" s="345"/>
    </row>
    <row r="107" spans="1:9" ht="19.5" customHeight="1" x14ac:dyDescent="0.3">
      <c r="A107" s="200"/>
      <c r="B107" s="200"/>
      <c r="C107" s="200"/>
      <c r="D107" s="200"/>
      <c r="E107" s="200"/>
    </row>
    <row r="108" spans="1:9" ht="26.25" customHeight="1" x14ac:dyDescent="0.4">
      <c r="A108" s="303" t="s">
        <v>114</v>
      </c>
      <c r="B108" s="244">
        <v>1000</v>
      </c>
      <c r="C108" s="272" t="s">
        <v>130</v>
      </c>
      <c r="D108" s="220" t="s">
        <v>59</v>
      </c>
      <c r="E108" s="221" t="s">
        <v>116</v>
      </c>
      <c r="F108" s="222" t="s">
        <v>117</v>
      </c>
    </row>
    <row r="109" spans="1:9" ht="26.25" customHeight="1" x14ac:dyDescent="0.4">
      <c r="A109" s="304" t="s">
        <v>145</v>
      </c>
      <c r="B109" s="245">
        <v>1</v>
      </c>
      <c r="C109" s="346">
        <v>1</v>
      </c>
      <c r="D109" s="257">
        <v>680862</v>
      </c>
      <c r="E109" s="347">
        <f t="shared" ref="E109:E114" si="1">IF(ISBLANK(D109),"-",D109/$D$104*$D$101*$B$117)</f>
        <v>15.308345879986408</v>
      </c>
      <c r="F109" s="348">
        <f t="shared" ref="F109:F114" si="2">IF(ISBLANK(D109), "-", E109/$B$56)</f>
        <v>0.76541729399932046</v>
      </c>
    </row>
    <row r="110" spans="1:9" ht="26.25" customHeight="1" x14ac:dyDescent="0.4">
      <c r="A110" s="304" t="s">
        <v>146</v>
      </c>
      <c r="B110" s="245">
        <v>1</v>
      </c>
      <c r="C110" s="346">
        <v>2</v>
      </c>
      <c r="D110" s="257">
        <v>576570</v>
      </c>
      <c r="E110" s="349">
        <f t="shared" si="1"/>
        <v>12.963468344574617</v>
      </c>
      <c r="F110" s="350">
        <f t="shared" si="2"/>
        <v>0.64817341722873079</v>
      </c>
    </row>
    <row r="111" spans="1:9" ht="26.25" customHeight="1" x14ac:dyDescent="0.4">
      <c r="A111" s="304" t="s">
        <v>147</v>
      </c>
      <c r="B111" s="245">
        <v>1</v>
      </c>
      <c r="C111" s="346">
        <v>3</v>
      </c>
      <c r="D111" s="257">
        <v>592178</v>
      </c>
      <c r="E111" s="349">
        <f t="shared" si="1"/>
        <v>13.314395055853595</v>
      </c>
      <c r="F111" s="350">
        <f t="shared" si="2"/>
        <v>0.6657197527926797</v>
      </c>
    </row>
    <row r="112" spans="1:9" ht="26.25" customHeight="1" x14ac:dyDescent="0.4">
      <c r="A112" s="304" t="s">
        <v>148</v>
      </c>
      <c r="B112" s="245">
        <v>1</v>
      </c>
      <c r="C112" s="346">
        <v>4</v>
      </c>
      <c r="D112" s="257">
        <v>574424</v>
      </c>
      <c r="E112" s="349">
        <f t="shared" si="1"/>
        <v>12.915218170150945</v>
      </c>
      <c r="F112" s="350">
        <f t="shared" si="2"/>
        <v>0.6457609085075473</v>
      </c>
    </row>
    <row r="113" spans="1:9" ht="26.25" customHeight="1" x14ac:dyDescent="0.4">
      <c r="A113" s="304" t="s">
        <v>149</v>
      </c>
      <c r="B113" s="245">
        <v>1</v>
      </c>
      <c r="C113" s="346">
        <v>5</v>
      </c>
      <c r="D113" s="257">
        <v>587868</v>
      </c>
      <c r="E113" s="349">
        <f t="shared" si="1"/>
        <v>13.217489999112667</v>
      </c>
      <c r="F113" s="350">
        <f t="shared" si="2"/>
        <v>0.6608744999556333</v>
      </c>
    </row>
    <row r="114" spans="1:9" ht="26.25" customHeight="1" x14ac:dyDescent="0.4">
      <c r="A114" s="304" t="s">
        <v>150</v>
      </c>
      <c r="B114" s="245">
        <v>1</v>
      </c>
      <c r="C114" s="351">
        <v>6</v>
      </c>
      <c r="D114" s="258">
        <v>583157</v>
      </c>
      <c r="E114" s="352">
        <f t="shared" si="1"/>
        <v>13.111568949853616</v>
      </c>
      <c r="F114" s="353">
        <f t="shared" si="2"/>
        <v>0.65557844749268079</v>
      </c>
    </row>
    <row r="115" spans="1:9" ht="26.25" customHeight="1" x14ac:dyDescent="0.4">
      <c r="A115" s="304" t="s">
        <v>151</v>
      </c>
      <c r="B115" s="245">
        <v>1</v>
      </c>
      <c r="C115" s="346"/>
      <c r="D115" s="274"/>
      <c r="E115" s="201"/>
      <c r="F115" s="354"/>
    </row>
    <row r="116" spans="1:9" ht="26.25" customHeight="1" x14ac:dyDescent="0.4">
      <c r="A116" s="304" t="s">
        <v>152</v>
      </c>
      <c r="B116" s="245">
        <v>1</v>
      </c>
      <c r="C116" s="346"/>
      <c r="D116" s="223"/>
      <c r="E116" s="355" t="s">
        <v>67</v>
      </c>
      <c r="F116" s="260">
        <f>AVERAGE(F109:F114)</f>
        <v>0.6735873866627653</v>
      </c>
    </row>
    <row r="117" spans="1:9" ht="27" customHeight="1" x14ac:dyDescent="0.4">
      <c r="A117" s="304" t="s">
        <v>99</v>
      </c>
      <c r="B117" s="236">
        <f>(B116/B115)*(B114/B113)*(B112/B111)*(B110/B109)*B108</f>
        <v>1000</v>
      </c>
      <c r="C117" s="356"/>
      <c r="D117" s="357"/>
      <c r="E117" s="234" t="s">
        <v>80</v>
      </c>
      <c r="F117" s="261">
        <f>STDEV(F109:F114)/F116</f>
        <v>6.7710100229594949E-2</v>
      </c>
    </row>
    <row r="118" spans="1:9" ht="27" customHeight="1" x14ac:dyDescent="0.4">
      <c r="A118" s="445" t="s">
        <v>74</v>
      </c>
      <c r="B118" s="449"/>
      <c r="C118" s="358"/>
      <c r="D118" s="359"/>
      <c r="E118" s="360" t="s">
        <v>19</v>
      </c>
      <c r="F118" s="262">
        <f>COUNT(F109:F114)</f>
        <v>6</v>
      </c>
      <c r="I118" s="345"/>
    </row>
    <row r="119" spans="1:9" ht="19.5" customHeight="1" x14ac:dyDescent="0.3">
      <c r="A119" s="447"/>
      <c r="B119" s="450"/>
      <c r="C119" s="201"/>
      <c r="D119" s="201"/>
      <c r="E119" s="201"/>
      <c r="F119" s="274"/>
      <c r="G119" s="201"/>
      <c r="H119" s="201"/>
    </row>
    <row r="120" spans="1:9" ht="18.75" x14ac:dyDescent="0.3">
      <c r="A120" s="206"/>
      <c r="B120" s="206"/>
      <c r="C120" s="201"/>
      <c r="D120" s="201"/>
      <c r="E120" s="201"/>
      <c r="F120" s="274"/>
      <c r="G120" s="201"/>
      <c r="H120" s="201"/>
    </row>
    <row r="121" spans="1:9" ht="26.25" customHeight="1" x14ac:dyDescent="0.4">
      <c r="A121" s="234" t="s">
        <v>126</v>
      </c>
      <c r="B121" s="234" t="s">
        <v>119</v>
      </c>
      <c r="C121" s="458" t="str">
        <f>B20</f>
        <v>Artemether 20mg, Lumefantrine 120mg</v>
      </c>
      <c r="D121" s="458"/>
      <c r="E121" s="201" t="s">
        <v>120</v>
      </c>
      <c r="F121" s="201"/>
      <c r="G121" s="263">
        <f>F116</f>
        <v>0.6735873866627653</v>
      </c>
      <c r="H121" s="201"/>
    </row>
    <row r="122" spans="1:9" ht="18.75" x14ac:dyDescent="0.3">
      <c r="A122" s="206"/>
      <c r="B122" s="206"/>
      <c r="C122" s="201"/>
      <c r="D122" s="201"/>
      <c r="E122" s="201"/>
      <c r="F122" s="274"/>
      <c r="G122" s="201"/>
      <c r="H122" s="201"/>
    </row>
    <row r="123" spans="1:9" ht="26.25" customHeight="1" x14ac:dyDescent="0.4">
      <c r="A123" s="202" t="s">
        <v>127</v>
      </c>
      <c r="B123" s="202" t="s">
        <v>128</v>
      </c>
      <c r="D123" s="259" t="s">
        <v>131</v>
      </c>
    </row>
    <row r="124" spans="1:9" ht="19.5" customHeight="1" x14ac:dyDescent="0.3">
      <c r="A124" s="200"/>
      <c r="B124" s="200"/>
      <c r="C124" s="200"/>
      <c r="D124" s="200"/>
      <c r="E124" s="200"/>
    </row>
    <row r="125" spans="1:9" ht="26.25" customHeight="1" x14ac:dyDescent="0.4">
      <c r="A125" s="303" t="s">
        <v>114</v>
      </c>
      <c r="B125" s="244">
        <v>1000</v>
      </c>
      <c r="C125" s="272" t="s">
        <v>130</v>
      </c>
      <c r="D125" s="220" t="s">
        <v>59</v>
      </c>
      <c r="E125" s="221" t="s">
        <v>116</v>
      </c>
      <c r="F125" s="222" t="s">
        <v>117</v>
      </c>
    </row>
    <row r="126" spans="1:9" ht="26.25" customHeight="1" x14ac:dyDescent="0.4">
      <c r="A126" s="304" t="s">
        <v>145</v>
      </c>
      <c r="B126" s="245">
        <v>1</v>
      </c>
      <c r="C126" s="346">
        <v>1</v>
      </c>
      <c r="D126" s="257">
        <v>668450</v>
      </c>
      <c r="E126" s="361">
        <f t="shared" ref="E126:E131" si="3">IF(ISBLANK(D126),"-",D126/$D$104*$D$101*$B$134)</f>
        <v>15.029277303590026</v>
      </c>
      <c r="F126" s="362">
        <f t="shared" ref="F126:F131" si="4">IF(ISBLANK(D126), "-", E126/$B$56)</f>
        <v>0.75146386517950137</v>
      </c>
    </row>
    <row r="127" spans="1:9" ht="26.25" customHeight="1" x14ac:dyDescent="0.4">
      <c r="A127" s="304" t="s">
        <v>146</v>
      </c>
      <c r="B127" s="245">
        <v>1</v>
      </c>
      <c r="C127" s="346">
        <v>2</v>
      </c>
      <c r="D127" s="257">
        <v>663930</v>
      </c>
      <c r="E127" s="363">
        <f t="shared" si="3"/>
        <v>14.927650654757315</v>
      </c>
      <c r="F127" s="364">
        <f t="shared" si="4"/>
        <v>0.7463825327378657</v>
      </c>
    </row>
    <row r="128" spans="1:9" ht="26.25" customHeight="1" x14ac:dyDescent="0.4">
      <c r="A128" s="304" t="s">
        <v>147</v>
      </c>
      <c r="B128" s="245">
        <v>1</v>
      </c>
      <c r="C128" s="346">
        <v>3</v>
      </c>
      <c r="D128" s="257">
        <v>639662</v>
      </c>
      <c r="E128" s="363">
        <f t="shared" si="3"/>
        <v>14.382014479121857</v>
      </c>
      <c r="F128" s="364">
        <f t="shared" si="4"/>
        <v>0.71910072395609281</v>
      </c>
    </row>
    <row r="129" spans="1:9" ht="26.25" customHeight="1" x14ac:dyDescent="0.4">
      <c r="A129" s="304" t="s">
        <v>148</v>
      </c>
      <c r="B129" s="245">
        <v>1</v>
      </c>
      <c r="C129" s="346">
        <v>4</v>
      </c>
      <c r="D129" s="257">
        <v>665322</v>
      </c>
      <c r="E129" s="363">
        <f t="shared" si="3"/>
        <v>14.95894806519429</v>
      </c>
      <c r="F129" s="364">
        <f t="shared" si="4"/>
        <v>0.74794740325971454</v>
      </c>
    </row>
    <row r="130" spans="1:9" ht="26.25" customHeight="1" x14ac:dyDescent="0.4">
      <c r="A130" s="304" t="s">
        <v>149</v>
      </c>
      <c r="B130" s="245">
        <v>1</v>
      </c>
      <c r="C130" s="346">
        <v>5</v>
      </c>
      <c r="D130" s="257">
        <v>675127</v>
      </c>
      <c r="E130" s="363">
        <f t="shared" si="3"/>
        <v>15.179401448336936</v>
      </c>
      <c r="F130" s="364">
        <f t="shared" si="4"/>
        <v>0.75897007241684677</v>
      </c>
    </row>
    <row r="131" spans="1:9" ht="26.25" customHeight="1" x14ac:dyDescent="0.4">
      <c r="A131" s="304" t="s">
        <v>150</v>
      </c>
      <c r="B131" s="245">
        <v>1</v>
      </c>
      <c r="C131" s="351">
        <v>6</v>
      </c>
      <c r="D131" s="258">
        <v>645504</v>
      </c>
      <c r="E131" s="365">
        <f t="shared" si="3"/>
        <v>14.51336467436095</v>
      </c>
      <c r="F131" s="366">
        <f t="shared" si="4"/>
        <v>0.72566823371804756</v>
      </c>
    </row>
    <row r="132" spans="1:9" ht="26.25" customHeight="1" x14ac:dyDescent="0.4">
      <c r="A132" s="304" t="s">
        <v>151</v>
      </c>
      <c r="B132" s="245">
        <v>1</v>
      </c>
      <c r="C132" s="346"/>
      <c r="D132" s="274"/>
      <c r="E132" s="201"/>
      <c r="F132" s="354"/>
    </row>
    <row r="133" spans="1:9" ht="26.25" customHeight="1" x14ac:dyDescent="0.4">
      <c r="A133" s="304" t="s">
        <v>152</v>
      </c>
      <c r="B133" s="245">
        <v>1</v>
      </c>
      <c r="C133" s="346"/>
      <c r="D133" s="223"/>
      <c r="E133" s="355" t="s">
        <v>67</v>
      </c>
      <c r="F133" s="260">
        <f>AVERAGE(F126:F131)</f>
        <v>0.74158880521134485</v>
      </c>
    </row>
    <row r="134" spans="1:9" ht="27" customHeight="1" x14ac:dyDescent="0.4">
      <c r="A134" s="304" t="s">
        <v>99</v>
      </c>
      <c r="B134" s="367">
        <f>(B133/B132)*(B131/B130)*(B129/B128)*(B127/B126)*B125</f>
        <v>1000</v>
      </c>
      <c r="C134" s="356"/>
      <c r="D134" s="357"/>
      <c r="E134" s="234" t="s">
        <v>80</v>
      </c>
      <c r="F134" s="261">
        <f>STDEV(F126:F131)/F133</f>
        <v>2.1082673411196486E-2</v>
      </c>
    </row>
    <row r="135" spans="1:9" ht="27" customHeight="1" x14ac:dyDescent="0.4">
      <c r="A135" s="445" t="s">
        <v>74</v>
      </c>
      <c r="B135" s="449"/>
      <c r="C135" s="358"/>
      <c r="D135" s="359"/>
      <c r="E135" s="360" t="s">
        <v>19</v>
      </c>
      <c r="F135" s="262">
        <f>COUNT(F126:F131)</f>
        <v>6</v>
      </c>
      <c r="I135" s="345"/>
    </row>
    <row r="136" spans="1:9" ht="19.5" customHeight="1" x14ac:dyDescent="0.3">
      <c r="A136" s="447"/>
      <c r="B136" s="450"/>
      <c r="C136" s="201"/>
      <c r="D136" s="201"/>
      <c r="E136" s="201"/>
      <c r="F136" s="274"/>
      <c r="G136" s="201"/>
      <c r="H136" s="201"/>
    </row>
    <row r="137" spans="1:9" ht="18.75" x14ac:dyDescent="0.3">
      <c r="A137" s="206"/>
      <c r="B137" s="206"/>
      <c r="C137" s="201"/>
      <c r="D137" s="201"/>
      <c r="E137" s="201"/>
      <c r="F137" s="274"/>
      <c r="G137" s="201"/>
      <c r="H137" s="201"/>
    </row>
    <row r="138" spans="1:9" ht="26.25" customHeight="1" x14ac:dyDescent="0.4">
      <c r="A138" s="234" t="s">
        <v>126</v>
      </c>
      <c r="B138" s="234" t="s">
        <v>119</v>
      </c>
      <c r="C138" s="458" t="str">
        <f>B20</f>
        <v>Artemether 20mg, Lumefantrine 120mg</v>
      </c>
      <c r="D138" s="458"/>
      <c r="E138" s="201" t="s">
        <v>120</v>
      </c>
      <c r="F138" s="201"/>
      <c r="G138" s="263">
        <f>F133</f>
        <v>0.74158880521134485</v>
      </c>
      <c r="H138" s="201"/>
    </row>
    <row r="139" spans="1:9" ht="19.5" customHeight="1" x14ac:dyDescent="0.3">
      <c r="A139" s="273"/>
      <c r="B139" s="273"/>
      <c r="C139" s="368"/>
      <c r="D139" s="368"/>
      <c r="E139" s="368"/>
      <c r="F139" s="368"/>
      <c r="G139" s="368"/>
      <c r="H139" s="368"/>
    </row>
    <row r="140" spans="1:9" ht="18.75" x14ac:dyDescent="0.3">
      <c r="B140" s="459" t="s">
        <v>22</v>
      </c>
      <c r="C140" s="459"/>
      <c r="E140" s="275" t="s">
        <v>23</v>
      </c>
      <c r="F140" s="275"/>
      <c r="G140" s="459" t="s">
        <v>24</v>
      </c>
      <c r="H140" s="459"/>
    </row>
    <row r="141" spans="1:9" ht="83.1" customHeight="1" x14ac:dyDescent="0.3">
      <c r="A141" s="234" t="s">
        <v>25</v>
      </c>
      <c r="B141" s="369"/>
      <c r="C141" s="369"/>
      <c r="E141" s="370"/>
      <c r="F141" s="201"/>
      <c r="G141" s="370"/>
      <c r="H141" s="370"/>
    </row>
    <row r="142" spans="1:9" ht="83.1" customHeight="1" x14ac:dyDescent="0.3">
      <c r="A142" s="234" t="s">
        <v>26</v>
      </c>
      <c r="B142" s="239"/>
      <c r="C142" s="239"/>
      <c r="E142" s="233"/>
      <c r="F142" s="201"/>
      <c r="G142" s="233"/>
      <c r="H142" s="233"/>
    </row>
    <row r="143" spans="1:9" ht="18.75" x14ac:dyDescent="0.3">
      <c r="A143" s="274"/>
      <c r="B143" s="274"/>
      <c r="C143" s="274"/>
      <c r="D143" s="274"/>
      <c r="E143" s="274"/>
      <c r="F143" s="204"/>
      <c r="G143" s="274"/>
      <c r="H143" s="274"/>
    </row>
    <row r="144" spans="1:9" ht="18.75" x14ac:dyDescent="0.3">
      <c r="A144" s="274"/>
      <c r="B144" s="274"/>
      <c r="C144" s="274"/>
      <c r="D144" s="274"/>
      <c r="E144" s="274"/>
      <c r="F144" s="204"/>
      <c r="G144" s="274"/>
      <c r="H144" s="274"/>
    </row>
    <row r="145" spans="1:8" ht="18.75" x14ac:dyDescent="0.3">
      <c r="A145" s="274"/>
      <c r="B145" s="274"/>
      <c r="C145" s="274"/>
      <c r="D145" s="274"/>
      <c r="E145" s="274"/>
      <c r="F145" s="204"/>
      <c r="G145" s="274"/>
      <c r="H145" s="274"/>
    </row>
    <row r="146" spans="1:8" ht="18.75" x14ac:dyDescent="0.3">
      <c r="A146" s="274"/>
      <c r="B146" s="274"/>
      <c r="C146" s="274"/>
      <c r="D146" s="274"/>
      <c r="E146" s="274"/>
      <c r="F146" s="204"/>
      <c r="G146" s="274"/>
      <c r="H146" s="274"/>
    </row>
    <row r="147" spans="1:8" ht="18.75" x14ac:dyDescent="0.3">
      <c r="A147" s="274"/>
      <c r="B147" s="274"/>
      <c r="C147" s="274"/>
      <c r="D147" s="274"/>
      <c r="E147" s="274"/>
      <c r="F147" s="204"/>
      <c r="G147" s="274"/>
      <c r="H147" s="274"/>
    </row>
    <row r="148" spans="1:8" ht="18.75" x14ac:dyDescent="0.3">
      <c r="A148" s="274"/>
      <c r="B148" s="274"/>
      <c r="C148" s="274"/>
      <c r="D148" s="274"/>
      <c r="E148" s="274"/>
      <c r="F148" s="204"/>
      <c r="G148" s="274"/>
      <c r="H148" s="274"/>
    </row>
    <row r="149" spans="1:8" ht="18.75" x14ac:dyDescent="0.3">
      <c r="A149" s="274"/>
      <c r="B149" s="274"/>
      <c r="C149" s="274"/>
      <c r="D149" s="274"/>
      <c r="E149" s="274"/>
      <c r="F149" s="204"/>
      <c r="G149" s="274"/>
      <c r="H149" s="274"/>
    </row>
    <row r="150" spans="1:8" ht="18.75" x14ac:dyDescent="0.3">
      <c r="A150" s="274"/>
      <c r="B150" s="274"/>
      <c r="C150" s="274"/>
      <c r="D150" s="274"/>
      <c r="E150" s="274"/>
      <c r="F150" s="204"/>
      <c r="G150" s="274"/>
      <c r="H150" s="274"/>
    </row>
    <row r="151" spans="1:8" ht="18.75" x14ac:dyDescent="0.3">
      <c r="A151" s="274"/>
      <c r="B151" s="274"/>
      <c r="C151" s="274"/>
      <c r="D151" s="274"/>
      <c r="E151" s="274"/>
      <c r="F151" s="204"/>
      <c r="G151" s="274"/>
      <c r="H151" s="274"/>
    </row>
    <row r="250" spans="1:1" x14ac:dyDescent="0.3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3"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  <mergeCell ref="F90:G90"/>
    <mergeCell ref="A100:B101"/>
    <mergeCell ref="A118:B119"/>
    <mergeCell ref="A46:B47"/>
    <mergeCell ref="C83:G83"/>
    <mergeCell ref="A70:B71"/>
    <mergeCell ref="C76:D76"/>
    <mergeCell ref="A1:H7"/>
    <mergeCell ref="A8:H14"/>
    <mergeCell ref="A16:H16"/>
    <mergeCell ref="C85:H85"/>
    <mergeCell ref="C86:H86"/>
    <mergeCell ref="B80:C80"/>
    <mergeCell ref="B26:C26"/>
    <mergeCell ref="B18:C18"/>
    <mergeCell ref="B20:C20"/>
    <mergeCell ref="B21:H21"/>
  </mergeCells>
  <printOptions horizontalCentered="1" verticalCentered="1"/>
  <pageMargins left="0.7" right="0.7" top="0.75" bottom="0.75" header="0.3" footer="0.3"/>
  <pageSetup paperSize="9" scale="21" fitToHeight="2" orientation="portrait" r:id="rId1"/>
  <headerFooter alignWithMargins="0"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60" zoomScaleNormal="40" zoomScalePageLayoutView="55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3" t="s">
        <v>41</v>
      </c>
      <c r="B1" s="433"/>
      <c r="C1" s="433"/>
      <c r="D1" s="433"/>
      <c r="E1" s="433"/>
      <c r="F1" s="433"/>
      <c r="G1" s="433"/>
      <c r="H1" s="433"/>
      <c r="I1" s="433"/>
    </row>
    <row r="2" spans="1:9" ht="18.7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</row>
    <row r="3" spans="1:9" ht="18.75" customHeight="1" x14ac:dyDescent="0.25">
      <c r="A3" s="433"/>
      <c r="B3" s="433"/>
      <c r="C3" s="433"/>
      <c r="D3" s="433"/>
      <c r="E3" s="433"/>
      <c r="F3" s="433"/>
      <c r="G3" s="433"/>
      <c r="H3" s="433"/>
      <c r="I3" s="433"/>
    </row>
    <row r="4" spans="1:9" ht="18.75" customHeight="1" x14ac:dyDescent="0.25">
      <c r="A4" s="433"/>
      <c r="B4" s="433"/>
      <c r="C4" s="433"/>
      <c r="D4" s="433"/>
      <c r="E4" s="433"/>
      <c r="F4" s="433"/>
      <c r="G4" s="433"/>
      <c r="H4" s="433"/>
      <c r="I4" s="433"/>
    </row>
    <row r="5" spans="1:9" ht="18.75" customHeight="1" x14ac:dyDescent="0.25">
      <c r="A5" s="433"/>
      <c r="B5" s="433"/>
      <c r="C5" s="433"/>
      <c r="D5" s="433"/>
      <c r="E5" s="433"/>
      <c r="F5" s="433"/>
      <c r="G5" s="433"/>
      <c r="H5" s="433"/>
      <c r="I5" s="433"/>
    </row>
    <row r="6" spans="1:9" ht="18.75" customHeight="1" x14ac:dyDescent="0.25">
      <c r="A6" s="433"/>
      <c r="B6" s="433"/>
      <c r="C6" s="433"/>
      <c r="D6" s="433"/>
      <c r="E6" s="433"/>
      <c r="F6" s="433"/>
      <c r="G6" s="433"/>
      <c r="H6" s="433"/>
      <c r="I6" s="433"/>
    </row>
    <row r="7" spans="1:9" ht="18.75" customHeight="1" x14ac:dyDescent="0.25">
      <c r="A7" s="433"/>
      <c r="B7" s="433"/>
      <c r="C7" s="433"/>
      <c r="D7" s="433"/>
      <c r="E7" s="433"/>
      <c r="F7" s="433"/>
      <c r="G7" s="433"/>
      <c r="H7" s="433"/>
      <c r="I7" s="433"/>
    </row>
    <row r="8" spans="1:9" x14ac:dyDescent="0.25">
      <c r="A8" s="434" t="s">
        <v>42</v>
      </c>
      <c r="B8" s="434"/>
      <c r="C8" s="434"/>
      <c r="D8" s="434"/>
      <c r="E8" s="434"/>
      <c r="F8" s="434"/>
      <c r="G8" s="434"/>
      <c r="H8" s="434"/>
      <c r="I8" s="434"/>
    </row>
    <row r="9" spans="1:9" x14ac:dyDescent="0.25">
      <c r="A9" s="434"/>
      <c r="B9" s="434"/>
      <c r="C9" s="434"/>
      <c r="D9" s="434"/>
      <c r="E9" s="434"/>
      <c r="F9" s="434"/>
      <c r="G9" s="434"/>
      <c r="H9" s="434"/>
      <c r="I9" s="434"/>
    </row>
    <row r="10" spans="1:9" x14ac:dyDescent="0.25">
      <c r="A10" s="434"/>
      <c r="B10" s="434"/>
      <c r="C10" s="434"/>
      <c r="D10" s="434"/>
      <c r="E10" s="434"/>
      <c r="F10" s="434"/>
      <c r="G10" s="434"/>
      <c r="H10" s="434"/>
      <c r="I10" s="434"/>
    </row>
    <row r="11" spans="1:9" x14ac:dyDescent="0.25">
      <c r="A11" s="434"/>
      <c r="B11" s="434"/>
      <c r="C11" s="434"/>
      <c r="D11" s="434"/>
      <c r="E11" s="434"/>
      <c r="F11" s="434"/>
      <c r="G11" s="434"/>
      <c r="H11" s="434"/>
      <c r="I11" s="434"/>
    </row>
    <row r="12" spans="1:9" x14ac:dyDescent="0.25">
      <c r="A12" s="434"/>
      <c r="B12" s="434"/>
      <c r="C12" s="434"/>
      <c r="D12" s="434"/>
      <c r="E12" s="434"/>
      <c r="F12" s="434"/>
      <c r="G12" s="434"/>
      <c r="H12" s="434"/>
      <c r="I12" s="434"/>
    </row>
    <row r="13" spans="1:9" x14ac:dyDescent="0.25">
      <c r="A13" s="434"/>
      <c r="B13" s="434"/>
      <c r="C13" s="434"/>
      <c r="D13" s="434"/>
      <c r="E13" s="434"/>
      <c r="F13" s="434"/>
      <c r="G13" s="434"/>
      <c r="H13" s="434"/>
      <c r="I13" s="434"/>
    </row>
    <row r="14" spans="1:9" x14ac:dyDescent="0.25">
      <c r="A14" s="434"/>
      <c r="B14" s="434"/>
      <c r="C14" s="434"/>
      <c r="D14" s="434"/>
      <c r="E14" s="434"/>
      <c r="F14" s="434"/>
      <c r="G14" s="434"/>
      <c r="H14" s="434"/>
      <c r="I14" s="434"/>
    </row>
    <row r="15" spans="1:9" ht="19.5" customHeight="1" x14ac:dyDescent="0.3">
      <c r="A15" s="23"/>
    </row>
    <row r="16" spans="1:9" ht="19.5" customHeight="1" x14ac:dyDescent="0.3">
      <c r="A16" s="468" t="s">
        <v>27</v>
      </c>
      <c r="B16" s="469"/>
      <c r="C16" s="469"/>
      <c r="D16" s="469"/>
      <c r="E16" s="469"/>
      <c r="F16" s="469"/>
      <c r="G16" s="469"/>
      <c r="H16" s="470"/>
    </row>
    <row r="17" spans="1:14" ht="20.25" customHeight="1" x14ac:dyDescent="0.25">
      <c r="A17" s="471" t="s">
        <v>43</v>
      </c>
      <c r="B17" s="471"/>
      <c r="C17" s="471"/>
      <c r="D17" s="471"/>
      <c r="E17" s="471"/>
      <c r="F17" s="471"/>
      <c r="G17" s="471"/>
      <c r="H17" s="471"/>
    </row>
    <row r="18" spans="1:14" ht="26.25" customHeight="1" x14ac:dyDescent="0.4">
      <c r="A18" s="25" t="s">
        <v>29</v>
      </c>
      <c r="B18" s="442" t="s">
        <v>5</v>
      </c>
      <c r="C18" s="442"/>
      <c r="D18" s="183"/>
      <c r="E18" s="26"/>
      <c r="F18" s="27"/>
      <c r="G18" s="27"/>
      <c r="H18" s="27"/>
    </row>
    <row r="19" spans="1:14" ht="26.25" customHeight="1" x14ac:dyDescent="0.4">
      <c r="A19" s="25" t="s">
        <v>30</v>
      </c>
      <c r="B19" s="28" t="s">
        <v>7</v>
      </c>
      <c r="C19" s="196">
        <v>1</v>
      </c>
      <c r="D19" s="27"/>
      <c r="E19" s="27"/>
      <c r="F19" s="27"/>
      <c r="G19" s="27"/>
      <c r="H19" s="27"/>
    </row>
    <row r="20" spans="1:14" ht="26.25" customHeight="1" x14ac:dyDescent="0.4">
      <c r="A20" s="25" t="s">
        <v>31</v>
      </c>
      <c r="B20" s="472" t="s">
        <v>9</v>
      </c>
      <c r="C20" s="472"/>
      <c r="D20" s="27"/>
      <c r="E20" s="27"/>
      <c r="F20" s="27"/>
      <c r="G20" s="27"/>
      <c r="H20" s="27"/>
    </row>
    <row r="21" spans="1:14" ht="26.25" customHeight="1" x14ac:dyDescent="0.4">
      <c r="A21" s="25" t="s">
        <v>32</v>
      </c>
      <c r="B21" s="472" t="s">
        <v>11</v>
      </c>
      <c r="C21" s="472"/>
      <c r="D21" s="472"/>
      <c r="E21" s="472"/>
      <c r="F21" s="472"/>
      <c r="G21" s="472"/>
      <c r="H21" s="472"/>
      <c r="I21" s="29"/>
    </row>
    <row r="22" spans="1:14" ht="26.25" customHeight="1" x14ac:dyDescent="0.4">
      <c r="A22" s="25" t="s">
        <v>33</v>
      </c>
      <c r="B22" s="30" t="str">
        <f>'ARTEMETHER '!B22</f>
        <v>29th Oct 2015</v>
      </c>
      <c r="C22" s="27"/>
      <c r="D22" s="27"/>
      <c r="E22" s="27"/>
      <c r="F22" s="27"/>
      <c r="G22" s="27"/>
      <c r="H22" s="27"/>
    </row>
    <row r="23" spans="1:14" ht="26.25" customHeight="1" x14ac:dyDescent="0.4">
      <c r="A23" s="25" t="s">
        <v>34</v>
      </c>
      <c r="B23" s="30" t="str">
        <f>'ARTEMETHER '!B23</f>
        <v>4th  Dec 2015</v>
      </c>
      <c r="C23" s="27"/>
      <c r="D23" s="27"/>
      <c r="E23" s="27"/>
      <c r="F23" s="27"/>
      <c r="G23" s="27"/>
      <c r="H23" s="27"/>
    </row>
    <row r="24" spans="1:14" ht="18.75" x14ac:dyDescent="0.3">
      <c r="A24" s="25"/>
      <c r="B24" s="31"/>
    </row>
    <row r="25" spans="1:14" ht="18.75" x14ac:dyDescent="0.3">
      <c r="A25" s="32" t="s">
        <v>1</v>
      </c>
      <c r="B25" s="31"/>
    </row>
    <row r="26" spans="1:14" ht="26.25" customHeight="1" x14ac:dyDescent="0.4">
      <c r="A26" s="33" t="s">
        <v>4</v>
      </c>
      <c r="B26" s="442" t="s">
        <v>133</v>
      </c>
      <c r="C26" s="442"/>
    </row>
    <row r="27" spans="1:14" ht="26.25" customHeight="1" x14ac:dyDescent="0.4">
      <c r="A27" s="34" t="s">
        <v>44</v>
      </c>
      <c r="B27" s="473" t="s">
        <v>134</v>
      </c>
      <c r="C27" s="473"/>
    </row>
    <row r="28" spans="1:14" ht="27" customHeight="1" x14ac:dyDescent="0.4">
      <c r="A28" s="34" t="s">
        <v>6</v>
      </c>
      <c r="B28" s="35">
        <v>100.2</v>
      </c>
    </row>
    <row r="29" spans="1:14" s="4" customFormat="1" ht="27" customHeight="1" x14ac:dyDescent="0.4">
      <c r="A29" s="34" t="s">
        <v>45</v>
      </c>
      <c r="B29" s="36">
        <v>0</v>
      </c>
      <c r="C29" s="451" t="s">
        <v>46</v>
      </c>
      <c r="D29" s="452"/>
      <c r="E29" s="452"/>
      <c r="F29" s="452"/>
      <c r="G29" s="453"/>
      <c r="I29" s="37"/>
      <c r="J29" s="37"/>
      <c r="K29" s="37"/>
      <c r="L29" s="37"/>
    </row>
    <row r="30" spans="1:14" s="4" customFormat="1" ht="19.5" customHeight="1" x14ac:dyDescent="0.3">
      <c r="A30" s="34" t="s">
        <v>47</v>
      </c>
      <c r="B30" s="38">
        <f>B28-B29</f>
        <v>100.2</v>
      </c>
      <c r="C30" s="39"/>
      <c r="D30" s="39"/>
      <c r="E30" s="39"/>
      <c r="F30" s="39"/>
      <c r="G30" s="40"/>
      <c r="I30" s="37"/>
      <c r="J30" s="37"/>
      <c r="K30" s="37"/>
      <c r="L30" s="37"/>
    </row>
    <row r="31" spans="1:14" s="4" customFormat="1" ht="27" customHeight="1" x14ac:dyDescent="0.4">
      <c r="A31" s="34" t="s">
        <v>48</v>
      </c>
      <c r="B31" s="41">
        <v>1</v>
      </c>
      <c r="C31" s="438" t="s">
        <v>49</v>
      </c>
      <c r="D31" s="439"/>
      <c r="E31" s="439"/>
      <c r="F31" s="439"/>
      <c r="G31" s="439"/>
      <c r="H31" s="440"/>
      <c r="I31" s="37"/>
      <c r="J31" s="37"/>
      <c r="K31" s="37"/>
      <c r="L31" s="37"/>
    </row>
    <row r="32" spans="1:14" s="4" customFormat="1" ht="27" customHeight="1" x14ac:dyDescent="0.4">
      <c r="A32" s="34" t="s">
        <v>50</v>
      </c>
      <c r="B32" s="41">
        <v>1</v>
      </c>
      <c r="C32" s="438" t="s">
        <v>51</v>
      </c>
      <c r="D32" s="439"/>
      <c r="E32" s="439"/>
      <c r="F32" s="439"/>
      <c r="G32" s="439"/>
      <c r="H32" s="440"/>
      <c r="I32" s="37"/>
      <c r="J32" s="37"/>
      <c r="K32" s="37"/>
      <c r="L32" s="42"/>
      <c r="M32" s="42"/>
      <c r="N32" s="43"/>
    </row>
    <row r="33" spans="1:14" s="4" customFormat="1" ht="17.25" customHeight="1" x14ac:dyDescent="0.3">
      <c r="A33" s="34"/>
      <c r="B33" s="44"/>
      <c r="C33" s="45"/>
      <c r="D33" s="45"/>
      <c r="E33" s="45"/>
      <c r="F33" s="45"/>
      <c r="G33" s="45"/>
      <c r="H33" s="45"/>
      <c r="I33" s="37"/>
      <c r="J33" s="37"/>
      <c r="K33" s="37"/>
      <c r="L33" s="42"/>
      <c r="M33" s="42"/>
      <c r="N33" s="43"/>
    </row>
    <row r="34" spans="1:14" s="4" customFormat="1" ht="18.75" x14ac:dyDescent="0.3">
      <c r="A34" s="34" t="s">
        <v>52</v>
      </c>
      <c r="B34" s="46">
        <f>B31/B32</f>
        <v>1</v>
      </c>
      <c r="C34" s="24" t="s">
        <v>53</v>
      </c>
      <c r="D34" s="24"/>
      <c r="E34" s="24"/>
      <c r="F34" s="24"/>
      <c r="G34" s="24"/>
      <c r="I34" s="37"/>
      <c r="J34" s="37"/>
      <c r="K34" s="37"/>
      <c r="L34" s="42"/>
      <c r="M34" s="42"/>
      <c r="N34" s="43"/>
    </row>
    <row r="35" spans="1:14" s="4" customFormat="1" ht="19.5" customHeight="1" x14ac:dyDescent="0.3">
      <c r="A35" s="34"/>
      <c r="B35" s="38"/>
      <c r="G35" s="24"/>
      <c r="I35" s="37"/>
      <c r="J35" s="37"/>
      <c r="K35" s="37"/>
      <c r="L35" s="42"/>
      <c r="M35" s="42"/>
      <c r="N35" s="43"/>
    </row>
    <row r="36" spans="1:14" s="4" customFormat="1" ht="27" customHeight="1" x14ac:dyDescent="0.4">
      <c r="A36" s="47" t="s">
        <v>54</v>
      </c>
      <c r="B36" s="244">
        <v>50</v>
      </c>
      <c r="C36" s="24"/>
      <c r="D36" s="443" t="s">
        <v>55</v>
      </c>
      <c r="E36" s="467"/>
      <c r="F36" s="443" t="s">
        <v>56</v>
      </c>
      <c r="G36" s="444"/>
      <c r="J36" s="37"/>
      <c r="K36" s="37"/>
      <c r="L36" s="42"/>
      <c r="M36" s="42"/>
      <c r="N36" s="43"/>
    </row>
    <row r="37" spans="1:14" s="4" customFormat="1" ht="27" customHeight="1" thickBot="1" x14ac:dyDescent="0.45">
      <c r="A37" s="49" t="s">
        <v>57</v>
      </c>
      <c r="B37" s="245">
        <v>2</v>
      </c>
      <c r="C37" s="51" t="s">
        <v>58</v>
      </c>
      <c r="D37" s="52" t="s">
        <v>59</v>
      </c>
      <c r="E37" s="53" t="s">
        <v>60</v>
      </c>
      <c r="F37" s="52" t="s">
        <v>59</v>
      </c>
      <c r="G37" s="54" t="s">
        <v>60</v>
      </c>
      <c r="I37" s="55" t="s">
        <v>61</v>
      </c>
      <c r="J37" s="37"/>
      <c r="K37" s="37"/>
      <c r="L37" s="42"/>
      <c r="M37" s="42"/>
      <c r="N37" s="43"/>
    </row>
    <row r="38" spans="1:14" s="4" customFormat="1" ht="26.25" customHeight="1" x14ac:dyDescent="0.4">
      <c r="A38" s="49" t="s">
        <v>62</v>
      </c>
      <c r="B38" s="245">
        <v>10</v>
      </c>
      <c r="C38" s="56">
        <v>1</v>
      </c>
      <c r="D38" s="268">
        <v>8379162</v>
      </c>
      <c r="E38" s="226">
        <f>IF(ISBLANK(D38),"-",$D$48/$D$45*D38)</f>
        <v>7757362.8253696682</v>
      </c>
      <c r="F38" s="246">
        <v>10061419</v>
      </c>
      <c r="G38" s="229">
        <f>IF(ISBLANK(F38),"-",$D$48/$F$45*F38)</f>
        <v>7796068.5771314502</v>
      </c>
      <c r="I38" s="60"/>
      <c r="J38" s="37"/>
      <c r="K38" s="37"/>
      <c r="L38" s="42"/>
      <c r="M38" s="42"/>
      <c r="N38" s="43"/>
    </row>
    <row r="39" spans="1:14" s="4" customFormat="1" ht="26.25" customHeight="1" x14ac:dyDescent="0.4">
      <c r="A39" s="49" t="s">
        <v>63</v>
      </c>
      <c r="B39" s="50">
        <v>1</v>
      </c>
      <c r="C39" s="61">
        <v>2</v>
      </c>
      <c r="D39" s="268">
        <v>8367316</v>
      </c>
      <c r="E39" s="227">
        <f>IF(ISBLANK(D39),"-",$D$48/$D$45*D39)</f>
        <v>7746395.8909638971</v>
      </c>
      <c r="F39" s="246">
        <v>10062388</v>
      </c>
      <c r="G39" s="230">
        <f>IF(ISBLANK(F39),"-",$D$48/$F$45*F39)</f>
        <v>7796819.4046689216</v>
      </c>
      <c r="I39" s="474">
        <f>ABS((F43/D43*D42)-F42)/D42</f>
        <v>6.3899513345980112E-3</v>
      </c>
      <c r="J39" s="37"/>
      <c r="K39" s="37"/>
      <c r="L39" s="42"/>
      <c r="M39" s="42"/>
      <c r="N39" s="43"/>
    </row>
    <row r="40" spans="1:14" ht="26.25" customHeight="1" x14ac:dyDescent="0.4">
      <c r="A40" s="49" t="s">
        <v>64</v>
      </c>
      <c r="B40" s="50">
        <v>1</v>
      </c>
      <c r="C40" s="61">
        <v>3</v>
      </c>
      <c r="D40" s="268">
        <v>8384910</v>
      </c>
      <c r="E40" s="227">
        <f>IF(ISBLANK(D40),"-",$D$48/$D$45*D40)</f>
        <v>7762684.278937486</v>
      </c>
      <c r="F40" s="246">
        <v>10045309</v>
      </c>
      <c r="G40" s="230">
        <f>IF(ISBLANK(F40),"-",$D$48/$F$45*F40)</f>
        <v>7783585.7787530515</v>
      </c>
      <c r="I40" s="474"/>
      <c r="L40" s="42"/>
      <c r="M40" s="42"/>
      <c r="N40" s="65"/>
    </row>
    <row r="41" spans="1:14" ht="27" customHeight="1" thickBot="1" x14ac:dyDescent="0.45">
      <c r="A41" s="49" t="s">
        <v>65</v>
      </c>
      <c r="B41" s="50">
        <v>1</v>
      </c>
      <c r="C41" s="66">
        <v>4</v>
      </c>
      <c r="D41" s="248">
        <v>8331298</v>
      </c>
      <c r="E41" s="228">
        <f>IF(ISBLANK(D41),"-",$D$48/$D$45*D41)</f>
        <v>7713050.7074903985</v>
      </c>
      <c r="F41" s="248">
        <v>10026100</v>
      </c>
      <c r="G41" s="231">
        <f>IF(ISBLANK(F41),"-",$D$48/$F$45*F41)</f>
        <v>7768701.7269808203</v>
      </c>
      <c r="I41" s="70"/>
      <c r="L41" s="42"/>
      <c r="M41" s="42"/>
      <c r="N41" s="65"/>
    </row>
    <row r="42" spans="1:14" ht="27" customHeight="1" thickBot="1" x14ac:dyDescent="0.45">
      <c r="A42" s="49" t="s">
        <v>66</v>
      </c>
      <c r="B42" s="50">
        <v>1</v>
      </c>
      <c r="C42" s="71" t="s">
        <v>67</v>
      </c>
      <c r="D42" s="211">
        <f>AVERAGE(D38:D41)</f>
        <v>8365671.5</v>
      </c>
      <c r="E42" s="216">
        <f>AVERAGE(E38:E41)</f>
        <v>7744873.4256903622</v>
      </c>
      <c r="F42" s="211">
        <f>AVERAGE(F38:F41)</f>
        <v>10048804</v>
      </c>
      <c r="G42" s="212">
        <f>AVERAGE(G38:G41)</f>
        <v>7786293.8718835609</v>
      </c>
      <c r="H42" s="73"/>
    </row>
    <row r="43" spans="1:14" ht="26.25" customHeight="1" x14ac:dyDescent="0.4">
      <c r="A43" s="49" t="s">
        <v>68</v>
      </c>
      <c r="B43" s="50">
        <v>1</v>
      </c>
      <c r="C43" s="74" t="s">
        <v>69</v>
      </c>
      <c r="D43" s="249">
        <v>16.170000000000002</v>
      </c>
      <c r="E43" s="240"/>
      <c r="F43" s="249">
        <v>19.32</v>
      </c>
      <c r="G43" s="235"/>
      <c r="H43" s="73"/>
    </row>
    <row r="44" spans="1:14" ht="26.25" customHeight="1" x14ac:dyDescent="0.4">
      <c r="A44" s="49" t="s">
        <v>70</v>
      </c>
      <c r="B44" s="50">
        <v>1</v>
      </c>
      <c r="C44" s="76" t="s">
        <v>71</v>
      </c>
      <c r="D44" s="77">
        <f>D43*$B$34</f>
        <v>16.170000000000002</v>
      </c>
      <c r="E44" s="78"/>
      <c r="F44" s="77">
        <f>F43*$B$34</f>
        <v>19.32</v>
      </c>
      <c r="H44" s="73"/>
    </row>
    <row r="45" spans="1:14" ht="19.5" customHeight="1" x14ac:dyDescent="0.3">
      <c r="A45" s="49" t="s">
        <v>72</v>
      </c>
      <c r="B45" s="79">
        <f>(B44/B43)*(B42/B41)*(B40/B39)*(B38/B37)*B36</f>
        <v>250</v>
      </c>
      <c r="C45" s="76" t="s">
        <v>73</v>
      </c>
      <c r="D45" s="80">
        <f>D44*$B$30/100</f>
        <v>16.202340000000003</v>
      </c>
      <c r="E45" s="81"/>
      <c r="F45" s="80">
        <f>F44*$B$30/100</f>
        <v>19.358640000000001</v>
      </c>
      <c r="H45" s="73"/>
    </row>
    <row r="46" spans="1:14" ht="19.5" customHeight="1" x14ac:dyDescent="0.3">
      <c r="A46" s="445" t="s">
        <v>74</v>
      </c>
      <c r="B46" s="449"/>
      <c r="C46" s="76" t="s">
        <v>75</v>
      </c>
      <c r="D46" s="82">
        <f>D45/$B$45</f>
        <v>6.480936000000001E-2</v>
      </c>
      <c r="E46" s="83"/>
      <c r="F46" s="84">
        <f>F45/$B$45</f>
        <v>7.743456E-2</v>
      </c>
      <c r="H46" s="73"/>
    </row>
    <row r="47" spans="1:14" ht="27" customHeight="1" x14ac:dyDescent="0.4">
      <c r="A47" s="447"/>
      <c r="B47" s="450"/>
      <c r="C47" s="85" t="s">
        <v>76</v>
      </c>
      <c r="D47" s="86">
        <v>0.06</v>
      </c>
      <c r="E47" s="87"/>
      <c r="F47" s="83"/>
      <c r="H47" s="73"/>
    </row>
    <row r="48" spans="1:14" ht="18.75" x14ac:dyDescent="0.3">
      <c r="C48" s="88" t="s">
        <v>77</v>
      </c>
      <c r="D48" s="80">
        <f>D47*$B$45</f>
        <v>15</v>
      </c>
      <c r="F48" s="89"/>
      <c r="H48" s="73"/>
    </row>
    <row r="49" spans="1:12" ht="19.5" customHeight="1" x14ac:dyDescent="0.3">
      <c r="C49" s="90" t="s">
        <v>78</v>
      </c>
      <c r="D49" s="91">
        <f>D48/B34</f>
        <v>15</v>
      </c>
      <c r="F49" s="89"/>
      <c r="H49" s="73"/>
    </row>
    <row r="50" spans="1:12" ht="18.75" x14ac:dyDescent="0.3">
      <c r="C50" s="47" t="s">
        <v>79</v>
      </c>
      <c r="D50" s="92">
        <f>AVERAGE(E38:E41,G38:G41)</f>
        <v>7765583.6487869611</v>
      </c>
      <c r="F50" s="93"/>
      <c r="H50" s="73"/>
    </row>
    <row r="51" spans="1:12" ht="18.75" x14ac:dyDescent="0.3">
      <c r="C51" s="49" t="s">
        <v>80</v>
      </c>
      <c r="D51" s="94">
        <f>STDEV(E38:E41,G38:G41)/D50</f>
        <v>3.5907312825288282E-3</v>
      </c>
      <c r="F51" s="93"/>
      <c r="H51" s="73"/>
    </row>
    <row r="52" spans="1:12" ht="19.5" customHeight="1" x14ac:dyDescent="0.3">
      <c r="C52" s="95" t="s">
        <v>19</v>
      </c>
      <c r="D52" s="96">
        <f>COUNT(E38:E41,G38:G41)</f>
        <v>8</v>
      </c>
      <c r="F52" s="93"/>
    </row>
    <row r="54" spans="1:12" ht="18.75" x14ac:dyDescent="0.3">
      <c r="A54" s="97" t="s">
        <v>1</v>
      </c>
      <c r="B54" s="98" t="s">
        <v>81</v>
      </c>
    </row>
    <row r="55" spans="1:12" ht="18.75" x14ac:dyDescent="0.3">
      <c r="A55" s="24" t="s">
        <v>82</v>
      </c>
      <c r="B55" s="99" t="str">
        <f>B21</f>
        <v>Each dispersible tablet contains Artemether 20mg and Lumefantrine 120mg</v>
      </c>
    </row>
    <row r="56" spans="1:12" ht="26.25" customHeight="1" x14ac:dyDescent="0.4">
      <c r="A56" s="100" t="s">
        <v>83</v>
      </c>
      <c r="B56" s="101">
        <v>120</v>
      </c>
      <c r="C56" s="24" t="str">
        <f>B20</f>
        <v>Artemether 20mg, Lumefantrine 120mg</v>
      </c>
      <c r="H56" s="102"/>
    </row>
    <row r="57" spans="1:12" ht="18.75" x14ac:dyDescent="0.3">
      <c r="A57" s="99" t="s">
        <v>84</v>
      </c>
      <c r="B57" s="184">
        <f>Uniformity!C46</f>
        <v>298.47550000000001</v>
      </c>
      <c r="H57" s="102"/>
    </row>
    <row r="58" spans="1:12" ht="19.5" customHeight="1" x14ac:dyDescent="0.3">
      <c r="H58" s="102"/>
    </row>
    <row r="59" spans="1:12" s="4" customFormat="1" ht="27" customHeight="1" x14ac:dyDescent="0.4">
      <c r="A59" s="47" t="s">
        <v>85</v>
      </c>
      <c r="B59" s="244">
        <v>100</v>
      </c>
      <c r="C59" s="24"/>
      <c r="D59" s="103" t="s">
        <v>86</v>
      </c>
      <c r="E59" s="104" t="s">
        <v>58</v>
      </c>
      <c r="F59" s="104" t="s">
        <v>59</v>
      </c>
      <c r="G59" s="104" t="s">
        <v>87</v>
      </c>
      <c r="H59" s="51" t="s">
        <v>88</v>
      </c>
      <c r="L59" s="37"/>
    </row>
    <row r="60" spans="1:12" s="4" customFormat="1" ht="26.25" customHeight="1" x14ac:dyDescent="0.4">
      <c r="A60" s="49" t="s">
        <v>89</v>
      </c>
      <c r="B60" s="245">
        <v>2</v>
      </c>
      <c r="C60" s="460" t="s">
        <v>90</v>
      </c>
      <c r="D60" s="464">
        <v>149.37</v>
      </c>
      <c r="E60" s="105">
        <v>1</v>
      </c>
      <c r="F60" s="251">
        <v>8020907</v>
      </c>
      <c r="G60" s="185">
        <f>IF(ISBLANK(F60),"-",(F60/$D$50*$D$47*$B$68)*($B$57/$D$60))</f>
        <v>123.83572083300278</v>
      </c>
      <c r="H60" s="106">
        <f t="shared" ref="H60:H71" si="0">IF(ISBLANK(F60),"-",G60/$B$56)</f>
        <v>1.0319643402750232</v>
      </c>
      <c r="L60" s="37"/>
    </row>
    <row r="61" spans="1:12" s="4" customFormat="1" ht="26.25" customHeight="1" x14ac:dyDescent="0.4">
      <c r="A61" s="49" t="s">
        <v>91</v>
      </c>
      <c r="B61" s="245">
        <v>20</v>
      </c>
      <c r="C61" s="461"/>
      <c r="D61" s="465"/>
      <c r="E61" s="107">
        <v>2</v>
      </c>
      <c r="F61" s="247">
        <v>8027465</v>
      </c>
      <c r="G61" s="186">
        <f>IF(ISBLANK(F61),"-",(F61/$D$50*$D$47*$B$68)*($B$57/$D$60))</f>
        <v>123.93697056164608</v>
      </c>
      <c r="H61" s="108">
        <f t="shared" si="0"/>
        <v>1.0328080880137174</v>
      </c>
      <c r="L61" s="37"/>
    </row>
    <row r="62" spans="1:12" s="4" customFormat="1" ht="26.25" customHeight="1" x14ac:dyDescent="0.4">
      <c r="A62" s="49" t="s">
        <v>92</v>
      </c>
      <c r="B62" s="50">
        <v>1</v>
      </c>
      <c r="C62" s="461"/>
      <c r="D62" s="465"/>
      <c r="E62" s="107">
        <v>3</v>
      </c>
      <c r="F62" s="198">
        <v>8029800</v>
      </c>
      <c r="G62" s="186">
        <f>IF(ISBLANK(F62),"-",(F62/$D$50*$D$47*$B$68)*($B$57/$D$60))</f>
        <v>123.97302089961221</v>
      </c>
      <c r="H62" s="108">
        <f t="shared" si="0"/>
        <v>1.0331085074967683</v>
      </c>
      <c r="L62" s="37"/>
    </row>
    <row r="63" spans="1:12" ht="27" customHeight="1" x14ac:dyDescent="0.4">
      <c r="A63" s="49" t="s">
        <v>93</v>
      </c>
      <c r="B63" s="50">
        <v>1</v>
      </c>
      <c r="C63" s="462"/>
      <c r="D63" s="466"/>
      <c r="E63" s="109">
        <v>4</v>
      </c>
      <c r="F63" s="252"/>
      <c r="G63" s="186" t="str">
        <f>IF(ISBLANK(F63),"-",(F63/$D$50*$D$47*$B$68)*($B$57/$D$60))</f>
        <v>-</v>
      </c>
      <c r="H63" s="108" t="str">
        <f t="shared" si="0"/>
        <v>-</v>
      </c>
    </row>
    <row r="64" spans="1:12" ht="26.25" customHeight="1" x14ac:dyDescent="0.4">
      <c r="A64" s="49" t="s">
        <v>94</v>
      </c>
      <c r="B64" s="50">
        <v>1</v>
      </c>
      <c r="C64" s="460" t="s">
        <v>95</v>
      </c>
      <c r="D64" s="464">
        <v>146.87</v>
      </c>
      <c r="E64" s="105">
        <v>1</v>
      </c>
      <c r="F64" s="251">
        <v>7858230</v>
      </c>
      <c r="G64" s="187">
        <f>IF(ISBLANK(F64),"-",(F64/$D$50*$D$47*$B$68)*($B$57/$D$64))</f>
        <v>123.38929351804045</v>
      </c>
      <c r="H64" s="110">
        <f t="shared" si="0"/>
        <v>1.028244112650337</v>
      </c>
    </row>
    <row r="65" spans="1:8" ht="26.25" customHeight="1" x14ac:dyDescent="0.4">
      <c r="A65" s="49" t="s">
        <v>96</v>
      </c>
      <c r="B65" s="50">
        <v>1</v>
      </c>
      <c r="C65" s="461"/>
      <c r="D65" s="465"/>
      <c r="E65" s="107">
        <v>2</v>
      </c>
      <c r="F65" s="247">
        <v>7847853</v>
      </c>
      <c r="G65" s="188">
        <f>IF(ISBLANK(F65),"-",(F65/$D$50*$D$47*$B$68)*($B$57/$D$64))</f>
        <v>123.22635470117753</v>
      </c>
      <c r="H65" s="111">
        <f t="shared" si="0"/>
        <v>1.0268862891764794</v>
      </c>
    </row>
    <row r="66" spans="1:8" ht="26.25" customHeight="1" x14ac:dyDescent="0.4">
      <c r="A66" s="49" t="s">
        <v>97</v>
      </c>
      <c r="B66" s="50">
        <v>1</v>
      </c>
      <c r="C66" s="461"/>
      <c r="D66" s="465"/>
      <c r="E66" s="107">
        <v>3</v>
      </c>
      <c r="F66" s="247">
        <v>7851024</v>
      </c>
      <c r="G66" s="188">
        <f>IF(ISBLANK(F66),"-",(F66/$D$50*$D$47*$B$68)*($B$57/$D$64))</f>
        <v>123.27614548736547</v>
      </c>
      <c r="H66" s="111">
        <f t="shared" si="0"/>
        <v>1.0273012123947123</v>
      </c>
    </row>
    <row r="67" spans="1:8" ht="27" customHeight="1" x14ac:dyDescent="0.4">
      <c r="A67" s="49" t="s">
        <v>98</v>
      </c>
      <c r="B67" s="50">
        <v>1</v>
      </c>
      <c r="C67" s="462"/>
      <c r="D67" s="466"/>
      <c r="E67" s="109">
        <v>4</v>
      </c>
      <c r="F67" s="252"/>
      <c r="G67" s="189" t="str">
        <f>IF(ISBLANK(F67),"-",(F67/$D$50*$D$47*$B$68)*($B$57/$D$64))</f>
        <v>-</v>
      </c>
      <c r="H67" s="112" t="str">
        <f t="shared" si="0"/>
        <v>-</v>
      </c>
    </row>
    <row r="68" spans="1:8" ht="26.25" customHeight="1" x14ac:dyDescent="0.4">
      <c r="A68" s="49" t="s">
        <v>99</v>
      </c>
      <c r="B68" s="113">
        <f>(B67/B66)*(B65/B64)*(B63/B62)*(B61/B60)*B59</f>
        <v>1000</v>
      </c>
      <c r="C68" s="460" t="s">
        <v>100</v>
      </c>
      <c r="D68" s="464">
        <v>150.43</v>
      </c>
      <c r="E68" s="105">
        <v>1</v>
      </c>
      <c r="F68" s="251">
        <v>7994855</v>
      </c>
      <c r="G68" s="187">
        <f>IF(ISBLANK(F68),"-",(F68/$D$50*$D$47*$B$68)*($B$57/$D$68))</f>
        <v>122.5637308935475</v>
      </c>
      <c r="H68" s="108">
        <f t="shared" si="0"/>
        <v>1.0213644241128959</v>
      </c>
    </row>
    <row r="69" spans="1:8" ht="27" customHeight="1" x14ac:dyDescent="0.4">
      <c r="A69" s="95" t="s">
        <v>101</v>
      </c>
      <c r="B69" s="114">
        <f>(D47*B68)/B56*B57</f>
        <v>149.23775000000001</v>
      </c>
      <c r="C69" s="461"/>
      <c r="D69" s="465"/>
      <c r="E69" s="107">
        <v>2</v>
      </c>
      <c r="F69" s="247">
        <v>8005411</v>
      </c>
      <c r="G69" s="188">
        <f>IF(ISBLANK(F69),"-",(F69/$D$50*$D$47*$B$68)*($B$57/$D$68))</f>
        <v>122.72555781139809</v>
      </c>
      <c r="H69" s="108">
        <f t="shared" si="0"/>
        <v>1.0227129817616507</v>
      </c>
    </row>
    <row r="70" spans="1:8" ht="26.25" customHeight="1" x14ac:dyDescent="0.4">
      <c r="A70" s="454" t="s">
        <v>74</v>
      </c>
      <c r="B70" s="455"/>
      <c r="C70" s="461"/>
      <c r="D70" s="465"/>
      <c r="E70" s="107">
        <v>3</v>
      </c>
      <c r="F70" s="247">
        <v>8002622</v>
      </c>
      <c r="G70" s="188">
        <f>IF(ISBLANK(F70),"-",(F70/$D$50*$D$47*$B$68)*($B$57/$D$68))</f>
        <v>122.68280153308382</v>
      </c>
      <c r="H70" s="108">
        <f t="shared" si="0"/>
        <v>1.0223566794423651</v>
      </c>
    </row>
    <row r="71" spans="1:8" ht="27" customHeight="1" x14ac:dyDescent="0.4">
      <c r="A71" s="456"/>
      <c r="B71" s="457"/>
      <c r="C71" s="463"/>
      <c r="D71" s="466"/>
      <c r="E71" s="109">
        <v>4</v>
      </c>
      <c r="F71" s="252"/>
      <c r="G71" s="189" t="str">
        <f>IF(ISBLANK(F71),"-",(F71/$D$50*$D$47*$B$68)*($B$57/$D$68))</f>
        <v>-</v>
      </c>
      <c r="H71" s="115" t="str">
        <f t="shared" si="0"/>
        <v>-</v>
      </c>
    </row>
    <row r="72" spans="1:8" ht="26.25" customHeight="1" x14ac:dyDescent="0.4">
      <c r="A72" s="116"/>
      <c r="B72" s="116"/>
      <c r="C72" s="116"/>
      <c r="D72" s="116"/>
      <c r="E72" s="116"/>
      <c r="F72" s="118" t="s">
        <v>67</v>
      </c>
      <c r="G72" s="194">
        <f>AVERAGE(G60:G71)</f>
        <v>123.28995513765267</v>
      </c>
      <c r="H72" s="119">
        <f>AVERAGE(H60:H71)</f>
        <v>1.0274162928137722</v>
      </c>
    </row>
    <row r="73" spans="1:8" ht="26.25" customHeight="1" x14ac:dyDescent="0.4">
      <c r="C73" s="116"/>
      <c r="D73" s="116"/>
      <c r="E73" s="116"/>
      <c r="F73" s="120" t="s">
        <v>80</v>
      </c>
      <c r="G73" s="190">
        <f>STDEV(G60:G71)/G72</f>
        <v>4.4534210165665051E-3</v>
      </c>
      <c r="H73" s="190">
        <f>STDEV(H60:H71)/H72</f>
        <v>4.4534210165665051E-3</v>
      </c>
    </row>
    <row r="74" spans="1:8" ht="27" customHeight="1" x14ac:dyDescent="0.4">
      <c r="A74" s="116"/>
      <c r="B74" s="116"/>
      <c r="C74" s="117"/>
      <c r="D74" s="117"/>
      <c r="E74" s="121"/>
      <c r="F74" s="122" t="s">
        <v>19</v>
      </c>
      <c r="G74" s="123">
        <f>COUNT(G60:G71)</f>
        <v>9</v>
      </c>
      <c r="H74" s="123">
        <f>COUNT(H60:H71)</f>
        <v>9</v>
      </c>
    </row>
    <row r="76" spans="1:8" ht="26.25" customHeight="1" x14ac:dyDescent="0.4">
      <c r="A76" s="33" t="s">
        <v>102</v>
      </c>
      <c r="B76" s="124" t="s">
        <v>103</v>
      </c>
      <c r="C76" s="458" t="str">
        <f>B20</f>
        <v>Artemether 20mg, Lumefantrine 120mg</v>
      </c>
      <c r="D76" s="458"/>
      <c r="E76" s="125" t="s">
        <v>104</v>
      </c>
      <c r="F76" s="125"/>
      <c r="G76" s="126">
        <f>H72</f>
        <v>1.0274162928137722</v>
      </c>
      <c r="H76" s="127"/>
    </row>
    <row r="77" spans="1:8" ht="18.75" x14ac:dyDescent="0.3">
      <c r="A77" s="32" t="s">
        <v>105</v>
      </c>
      <c r="B77" s="32" t="s">
        <v>106</v>
      </c>
    </row>
    <row r="78" spans="1:8" ht="18.75" x14ac:dyDescent="0.3">
      <c r="A78" s="32"/>
      <c r="B78" s="32"/>
    </row>
    <row r="79" spans="1:8" ht="26.25" customHeight="1" x14ac:dyDescent="0.4">
      <c r="A79" s="33" t="s">
        <v>4</v>
      </c>
      <c r="B79" s="441" t="str">
        <f>B26</f>
        <v xml:space="preserve">Lumefantrine </v>
      </c>
      <c r="C79" s="441"/>
    </row>
    <row r="80" spans="1:8" ht="26.25" customHeight="1" x14ac:dyDescent="0.4">
      <c r="A80" s="34" t="s">
        <v>44</v>
      </c>
      <c r="B80" s="441" t="str">
        <f>B27</f>
        <v>WS/14/046</v>
      </c>
      <c r="C80" s="441"/>
    </row>
    <row r="81" spans="1:12" ht="27" customHeight="1" x14ac:dyDescent="0.4">
      <c r="A81" s="34" t="s">
        <v>6</v>
      </c>
      <c r="B81" s="128">
        <f>B28</f>
        <v>100.2</v>
      </c>
    </row>
    <row r="82" spans="1:12" s="4" customFormat="1" ht="27" customHeight="1" x14ac:dyDescent="0.4">
      <c r="A82" s="34" t="s">
        <v>45</v>
      </c>
      <c r="B82" s="36">
        <v>0</v>
      </c>
      <c r="C82" s="451" t="s">
        <v>46</v>
      </c>
      <c r="D82" s="452"/>
      <c r="E82" s="452"/>
      <c r="F82" s="452"/>
      <c r="G82" s="453"/>
      <c r="I82" s="37"/>
      <c r="J82" s="37"/>
      <c r="K82" s="37"/>
      <c r="L82" s="37"/>
    </row>
    <row r="83" spans="1:12" s="4" customFormat="1" ht="19.5" customHeight="1" x14ac:dyDescent="0.3">
      <c r="A83" s="34" t="s">
        <v>47</v>
      </c>
      <c r="B83" s="38">
        <f>B81-B82</f>
        <v>100.2</v>
      </c>
      <c r="C83" s="39"/>
      <c r="D83" s="39"/>
      <c r="E83" s="39"/>
      <c r="F83" s="39"/>
      <c r="G83" s="40"/>
      <c r="I83" s="37"/>
      <c r="J83" s="37"/>
      <c r="K83" s="37"/>
      <c r="L83" s="37"/>
    </row>
    <row r="84" spans="1:12" s="4" customFormat="1" ht="27" customHeight="1" x14ac:dyDescent="0.4">
      <c r="A84" s="34" t="s">
        <v>48</v>
      </c>
      <c r="B84" s="41">
        <v>1</v>
      </c>
      <c r="C84" s="438" t="s">
        <v>107</v>
      </c>
      <c r="D84" s="439"/>
      <c r="E84" s="439"/>
      <c r="F84" s="439"/>
      <c r="G84" s="439"/>
      <c r="H84" s="440"/>
      <c r="I84" s="37"/>
      <c r="J84" s="37"/>
      <c r="K84" s="37"/>
      <c r="L84" s="37"/>
    </row>
    <row r="85" spans="1:12" s="4" customFormat="1" ht="27" customHeight="1" x14ac:dyDescent="0.4">
      <c r="A85" s="34" t="s">
        <v>50</v>
      </c>
      <c r="B85" s="41">
        <v>1</v>
      </c>
      <c r="C85" s="438" t="s">
        <v>108</v>
      </c>
      <c r="D85" s="439"/>
      <c r="E85" s="439"/>
      <c r="F85" s="439"/>
      <c r="G85" s="439"/>
      <c r="H85" s="440"/>
      <c r="I85" s="37"/>
      <c r="J85" s="37"/>
      <c r="K85" s="37"/>
      <c r="L85" s="37"/>
    </row>
    <row r="86" spans="1:12" s="4" customFormat="1" ht="18.75" x14ac:dyDescent="0.3">
      <c r="A86" s="34"/>
      <c r="B86" s="44"/>
      <c r="C86" s="45"/>
      <c r="D86" s="45"/>
      <c r="E86" s="45"/>
      <c r="F86" s="45"/>
      <c r="G86" s="45"/>
      <c r="H86" s="45"/>
      <c r="I86" s="37"/>
      <c r="J86" s="37"/>
      <c r="K86" s="37"/>
      <c r="L86" s="37"/>
    </row>
    <row r="87" spans="1:12" s="4" customFormat="1" ht="18.75" x14ac:dyDescent="0.3">
      <c r="A87" s="34" t="s">
        <v>52</v>
      </c>
      <c r="B87" s="46">
        <f>B84/B85</f>
        <v>1</v>
      </c>
      <c r="C87" s="24" t="s">
        <v>53</v>
      </c>
      <c r="D87" s="24"/>
      <c r="E87" s="24"/>
      <c r="F87" s="24"/>
      <c r="G87" s="24"/>
      <c r="I87" s="37"/>
      <c r="J87" s="37"/>
      <c r="K87" s="37"/>
      <c r="L87" s="37"/>
    </row>
    <row r="88" spans="1:12" ht="19.5" customHeight="1" x14ac:dyDescent="0.3">
      <c r="A88" s="32"/>
      <c r="B88" s="32"/>
    </row>
    <row r="89" spans="1:12" ht="27" customHeight="1" x14ac:dyDescent="0.4">
      <c r="A89" s="47" t="s">
        <v>54</v>
      </c>
      <c r="B89" s="48">
        <v>50</v>
      </c>
      <c r="D89" s="129" t="s">
        <v>55</v>
      </c>
      <c r="E89" s="130"/>
      <c r="F89" s="443" t="s">
        <v>56</v>
      </c>
      <c r="G89" s="444"/>
    </row>
    <row r="90" spans="1:12" ht="27" customHeight="1" x14ac:dyDescent="0.4">
      <c r="A90" s="49" t="s">
        <v>57</v>
      </c>
      <c r="B90" s="50">
        <v>5</v>
      </c>
      <c r="C90" s="131" t="s">
        <v>58</v>
      </c>
      <c r="D90" s="52" t="s">
        <v>59</v>
      </c>
      <c r="E90" s="53" t="s">
        <v>60</v>
      </c>
      <c r="F90" s="52" t="s">
        <v>59</v>
      </c>
      <c r="G90" s="132" t="s">
        <v>60</v>
      </c>
      <c r="I90" s="55" t="s">
        <v>61</v>
      </c>
    </row>
    <row r="91" spans="1:12" ht="26.25" customHeight="1" x14ac:dyDescent="0.4">
      <c r="A91" s="49" t="s">
        <v>62</v>
      </c>
      <c r="B91" s="50">
        <v>20</v>
      </c>
      <c r="C91" s="133">
        <v>1</v>
      </c>
      <c r="D91" s="57">
        <v>0.73529999999999995</v>
      </c>
      <c r="E91" s="58">
        <f>IF(ISBLANK(D91),"-",$D$101/$D$98*D91)</f>
        <v>0.7262670535218223</v>
      </c>
      <c r="F91" s="57">
        <v>0.80889999999999995</v>
      </c>
      <c r="G91" s="59">
        <f>IF(ISBLANK(F91),"-",$D$101/$F$98*F91)</f>
        <v>0.73612653113226423</v>
      </c>
      <c r="I91" s="60"/>
    </row>
    <row r="92" spans="1:12" ht="26.25" customHeight="1" x14ac:dyDescent="0.4">
      <c r="A92" s="49" t="s">
        <v>63</v>
      </c>
      <c r="B92" s="50">
        <v>1</v>
      </c>
      <c r="C92" s="117">
        <v>2</v>
      </c>
      <c r="D92" s="62">
        <v>0.73280000000000001</v>
      </c>
      <c r="E92" s="63">
        <f>IF(ISBLANK(D92),"-",$D$101/$D$98*D92)</f>
        <v>0.72379776529415396</v>
      </c>
      <c r="F92" s="62">
        <v>0.80840000000000001</v>
      </c>
      <c r="G92" s="64">
        <f>IF(ISBLANK(F92),"-",$D$101/$F$98*F92)</f>
        <v>0.73567151411462783</v>
      </c>
      <c r="I92" s="474">
        <f>ABS((F96/D96*D95)-F95)/D95</f>
        <v>1.6973840955406206E-2</v>
      </c>
    </row>
    <row r="93" spans="1:12" ht="26.25" customHeight="1" x14ac:dyDescent="0.4">
      <c r="A93" s="49" t="s">
        <v>64</v>
      </c>
      <c r="B93" s="50">
        <v>1</v>
      </c>
      <c r="C93" s="117">
        <v>3</v>
      </c>
      <c r="D93" s="62">
        <v>0.73350000000000004</v>
      </c>
      <c r="E93" s="63">
        <f>IF(ISBLANK(D93),"-",$D$101/$D$98*D93)</f>
        <v>0.72448916599790114</v>
      </c>
      <c r="F93" s="62">
        <v>0.80959999999999999</v>
      </c>
      <c r="G93" s="64">
        <f>IF(ISBLANK(F93),"-",$D$101/$F$98*F93)</f>
        <v>0.73676355495695534</v>
      </c>
      <c r="I93" s="474"/>
    </row>
    <row r="94" spans="1:12" ht="27" customHeight="1" x14ac:dyDescent="0.4">
      <c r="A94" s="49" t="s">
        <v>65</v>
      </c>
      <c r="B94" s="50">
        <v>1</v>
      </c>
      <c r="C94" s="134">
        <v>4</v>
      </c>
      <c r="D94" s="67"/>
      <c r="E94" s="68" t="str">
        <f>IF(ISBLANK(D94),"-",$D$101/$D$98*D94)</f>
        <v>-</v>
      </c>
      <c r="F94" s="135"/>
      <c r="G94" s="69" t="str">
        <f>IF(ISBLANK(F94),"-",$D$101/$F$98*F94)</f>
        <v>-</v>
      </c>
      <c r="I94" s="70"/>
    </row>
    <row r="95" spans="1:12" ht="27" customHeight="1" x14ac:dyDescent="0.4">
      <c r="A95" s="49" t="s">
        <v>66</v>
      </c>
      <c r="B95" s="50">
        <v>1</v>
      </c>
      <c r="C95" s="136" t="s">
        <v>67</v>
      </c>
      <c r="D95" s="421">
        <f>AVERAGE(D91:D94)</f>
        <v>0.73386666666666667</v>
      </c>
      <c r="E95" s="72">
        <f>AVERAGE(E91:E94)</f>
        <v>0.72485132827129239</v>
      </c>
      <c r="F95" s="422">
        <f>AVERAGE(F91:F94)</f>
        <v>0.80896666666666661</v>
      </c>
      <c r="G95" s="137">
        <f>AVERAGE(G91:G94)</f>
        <v>0.73618720006794913</v>
      </c>
    </row>
    <row r="96" spans="1:12" ht="26.25" customHeight="1" x14ac:dyDescent="0.4">
      <c r="A96" s="49" t="s">
        <v>68</v>
      </c>
      <c r="B96" s="35">
        <v>1</v>
      </c>
      <c r="C96" s="138" t="s">
        <v>109</v>
      </c>
      <c r="D96" s="139">
        <v>24.25</v>
      </c>
      <c r="E96" s="65"/>
      <c r="F96" s="75">
        <v>26.32</v>
      </c>
    </row>
    <row r="97" spans="1:10" ht="26.25" customHeight="1" x14ac:dyDescent="0.4">
      <c r="A97" s="49" t="s">
        <v>70</v>
      </c>
      <c r="B97" s="35">
        <v>1</v>
      </c>
      <c r="C97" s="140" t="s">
        <v>110</v>
      </c>
      <c r="D97" s="141">
        <f>D96*$B$87</f>
        <v>24.25</v>
      </c>
      <c r="E97" s="78"/>
      <c r="F97" s="77">
        <f>F96*B87</f>
        <v>26.32</v>
      </c>
    </row>
    <row r="98" spans="1:10" ht="19.5" customHeight="1" x14ac:dyDescent="0.3">
      <c r="A98" s="49" t="s">
        <v>72</v>
      </c>
      <c r="B98" s="142">
        <f>(B97/B96)*(B95/B94)*(B93/B92)*(B91/B90)*B89</f>
        <v>200</v>
      </c>
      <c r="C98" s="140" t="s">
        <v>111</v>
      </c>
      <c r="D98" s="143">
        <f>D97*$B$83/100</f>
        <v>24.298500000000001</v>
      </c>
      <c r="E98" s="81"/>
      <c r="F98" s="80">
        <f>F97*$B$83/100</f>
        <v>26.372640000000001</v>
      </c>
    </row>
    <row r="99" spans="1:10" ht="19.5" customHeight="1" x14ac:dyDescent="0.3">
      <c r="A99" s="445" t="s">
        <v>74</v>
      </c>
      <c r="B99" s="446"/>
      <c r="C99" s="140" t="s">
        <v>112</v>
      </c>
      <c r="D99" s="144">
        <f>D98/$B$98</f>
        <v>0.1214925</v>
      </c>
      <c r="E99" s="81"/>
      <c r="F99" s="84">
        <f>F98/$B$98</f>
        <v>0.13186320000000001</v>
      </c>
      <c r="G99" s="145"/>
      <c r="H99" s="73"/>
    </row>
    <row r="100" spans="1:10" ht="19.5" customHeight="1" x14ac:dyDescent="0.3">
      <c r="A100" s="447"/>
      <c r="B100" s="448"/>
      <c r="C100" s="140" t="s">
        <v>76</v>
      </c>
      <c r="D100" s="146">
        <f>$B$56/$B$116</f>
        <v>0.12</v>
      </c>
      <c r="F100" s="89"/>
      <c r="G100" s="147"/>
      <c r="H100" s="73"/>
    </row>
    <row r="101" spans="1:10" ht="18.75" x14ac:dyDescent="0.3">
      <c r="C101" s="140" t="s">
        <v>77</v>
      </c>
      <c r="D101" s="141">
        <f>D100*$B$98</f>
        <v>24</v>
      </c>
      <c r="F101" s="89"/>
      <c r="G101" s="145"/>
      <c r="H101" s="73"/>
    </row>
    <row r="102" spans="1:10" ht="19.5" customHeight="1" x14ac:dyDescent="0.3">
      <c r="C102" s="148" t="s">
        <v>78</v>
      </c>
      <c r="D102" s="149">
        <f>D101/B34</f>
        <v>24</v>
      </c>
      <c r="F102" s="93"/>
      <c r="G102" s="145"/>
      <c r="H102" s="73"/>
      <c r="J102" s="150"/>
    </row>
    <row r="103" spans="1:10" ht="18.75" x14ac:dyDescent="0.3">
      <c r="C103" s="151" t="s">
        <v>113</v>
      </c>
      <c r="D103" s="152">
        <f>AVERAGE(E91:E94,G91:G94)</f>
        <v>0.73051926416962065</v>
      </c>
      <c r="F103" s="93"/>
      <c r="G103" s="153"/>
      <c r="H103" s="73"/>
      <c r="J103" s="154"/>
    </row>
    <row r="104" spans="1:10" ht="18.75" x14ac:dyDescent="0.3">
      <c r="C104" s="120" t="s">
        <v>80</v>
      </c>
      <c r="D104" s="155">
        <f>STDEV(E91:E94,G91:G94)/D103</f>
        <v>8.5837156091596607E-3</v>
      </c>
      <c r="F104" s="93"/>
      <c r="G104" s="145"/>
      <c r="H104" s="73"/>
      <c r="J104" s="154"/>
    </row>
    <row r="105" spans="1:10" ht="19.5" customHeight="1" x14ac:dyDescent="0.3">
      <c r="C105" s="122" t="s">
        <v>19</v>
      </c>
      <c r="D105" s="156">
        <f>COUNT(E91:E94,G91:G94)</f>
        <v>6</v>
      </c>
      <c r="F105" s="93"/>
      <c r="G105" s="145"/>
      <c r="H105" s="73"/>
      <c r="J105" s="154"/>
    </row>
    <row r="106" spans="1:10" ht="19.5" customHeight="1" x14ac:dyDescent="0.3">
      <c r="A106" s="97"/>
      <c r="B106" s="97"/>
      <c r="C106" s="97"/>
      <c r="D106" s="97"/>
      <c r="E106" s="97"/>
    </row>
    <row r="107" spans="1:10" ht="26.25" customHeight="1" x14ac:dyDescent="0.4">
      <c r="A107" s="47" t="s">
        <v>114</v>
      </c>
      <c r="B107" s="48">
        <v>1000</v>
      </c>
      <c r="C107" s="157" t="s">
        <v>115</v>
      </c>
      <c r="D107" s="158" t="s">
        <v>59</v>
      </c>
      <c r="E107" s="159" t="s">
        <v>116</v>
      </c>
      <c r="F107" s="160" t="s">
        <v>117</v>
      </c>
    </row>
    <row r="108" spans="1:10" ht="26.25" customHeight="1" x14ac:dyDescent="0.4">
      <c r="A108" s="49" t="s">
        <v>118</v>
      </c>
      <c r="B108" s="50">
        <v>1</v>
      </c>
      <c r="C108" s="161">
        <v>1</v>
      </c>
      <c r="D108" s="265">
        <v>0.55359999999999998</v>
      </c>
      <c r="E108" s="191">
        <f t="shared" ref="E108:E113" si="1">IF(ISBLANK(D108),"-",D108/$D$103*$D$100*$B$116)</f>
        <v>90.938053598782332</v>
      </c>
      <c r="F108" s="162">
        <f t="shared" ref="F108:F113" si="2">IF(ISBLANK(D108), "-", E108/$B$56)</f>
        <v>0.75781711332318613</v>
      </c>
    </row>
    <row r="109" spans="1:10" ht="26.25" customHeight="1" x14ac:dyDescent="0.4">
      <c r="A109" s="49" t="s">
        <v>91</v>
      </c>
      <c r="B109" s="50">
        <v>1</v>
      </c>
      <c r="C109" s="161">
        <v>2</v>
      </c>
      <c r="D109" s="265">
        <v>0.62319999999999998</v>
      </c>
      <c r="E109" s="192">
        <f t="shared" si="1"/>
        <v>102.37101698475641</v>
      </c>
      <c r="F109" s="163">
        <f t="shared" si="2"/>
        <v>0.85309180820630337</v>
      </c>
    </row>
    <row r="110" spans="1:10" ht="26.25" customHeight="1" x14ac:dyDescent="0.4">
      <c r="A110" s="49" t="s">
        <v>92</v>
      </c>
      <c r="B110" s="50">
        <v>1</v>
      </c>
      <c r="C110" s="161">
        <v>3</v>
      </c>
      <c r="D110" s="265">
        <v>0.5776</v>
      </c>
      <c r="E110" s="192">
        <f t="shared" si="1"/>
        <v>94.880454766359605</v>
      </c>
      <c r="F110" s="163">
        <f t="shared" si="2"/>
        <v>0.79067045638633005</v>
      </c>
    </row>
    <row r="111" spans="1:10" ht="26.25" customHeight="1" x14ac:dyDescent="0.4">
      <c r="A111" s="49" t="s">
        <v>93</v>
      </c>
      <c r="B111" s="50">
        <v>1</v>
      </c>
      <c r="C111" s="161">
        <v>4</v>
      </c>
      <c r="D111" s="265">
        <v>0.5544</v>
      </c>
      <c r="E111" s="192">
        <f t="shared" si="1"/>
        <v>91.069466971034913</v>
      </c>
      <c r="F111" s="163">
        <f t="shared" si="2"/>
        <v>0.7589122247586243</v>
      </c>
    </row>
    <row r="112" spans="1:10" ht="26.25" customHeight="1" x14ac:dyDescent="0.4">
      <c r="A112" s="49" t="s">
        <v>94</v>
      </c>
      <c r="B112" s="50">
        <v>1</v>
      </c>
      <c r="C112" s="161">
        <v>5</v>
      </c>
      <c r="D112" s="265">
        <v>0.61170000000000002</v>
      </c>
      <c r="E112" s="192">
        <f t="shared" si="1"/>
        <v>100.48194975862565</v>
      </c>
      <c r="F112" s="163">
        <f t="shared" si="2"/>
        <v>0.83734958132188042</v>
      </c>
    </row>
    <row r="113" spans="1:10" ht="26.25" customHeight="1" x14ac:dyDescent="0.4">
      <c r="A113" s="49" t="s">
        <v>96</v>
      </c>
      <c r="B113" s="50">
        <v>1</v>
      </c>
      <c r="C113" s="164">
        <v>6</v>
      </c>
      <c r="D113" s="266">
        <v>0.57030000000000003</v>
      </c>
      <c r="E113" s="193">
        <f t="shared" si="1"/>
        <v>93.681307744554871</v>
      </c>
      <c r="F113" s="165">
        <f t="shared" si="2"/>
        <v>0.78067756453795722</v>
      </c>
    </row>
    <row r="114" spans="1:10" ht="26.25" customHeight="1" x14ac:dyDescent="0.4">
      <c r="A114" s="49" t="s">
        <v>97</v>
      </c>
      <c r="B114" s="50">
        <v>1</v>
      </c>
      <c r="C114" s="161"/>
      <c r="D114" s="117"/>
      <c r="E114" s="23"/>
      <c r="F114" s="166"/>
    </row>
    <row r="115" spans="1:10" ht="26.25" customHeight="1" x14ac:dyDescent="0.4">
      <c r="A115" s="49" t="s">
        <v>98</v>
      </c>
      <c r="B115" s="50">
        <v>1</v>
      </c>
      <c r="C115" s="161"/>
      <c r="D115" s="167" t="s">
        <v>67</v>
      </c>
      <c r="E115" s="195">
        <f>AVERAGE(E108:E113)</f>
        <v>95.570374970685634</v>
      </c>
      <c r="F115" s="168">
        <f>AVERAGE(F108:F113)</f>
        <v>0.79641979142238029</v>
      </c>
    </row>
    <row r="116" spans="1:10" ht="27" customHeight="1" x14ac:dyDescent="0.4">
      <c r="A116" s="49" t="s">
        <v>99</v>
      </c>
      <c r="B116" s="79">
        <f>(B115/B114)*(B113/B112)*(B111/B110)*(B109/B108)*B107</f>
        <v>1000</v>
      </c>
      <c r="C116" s="169"/>
      <c r="D116" s="136" t="s">
        <v>80</v>
      </c>
      <c r="E116" s="170">
        <f>STDEV(E108:E113)/E115</f>
        <v>5.0427837977654516E-2</v>
      </c>
      <c r="F116" s="170">
        <f>STDEV(F108:F113)/F115</f>
        <v>5.0427837977654502E-2</v>
      </c>
      <c r="I116" s="23"/>
    </row>
    <row r="117" spans="1:10" ht="27" customHeight="1" x14ac:dyDescent="0.4">
      <c r="A117" s="445" t="s">
        <v>74</v>
      </c>
      <c r="B117" s="449"/>
      <c r="C117" s="171"/>
      <c r="D117" s="172" t="s">
        <v>19</v>
      </c>
      <c r="E117" s="173">
        <f>COUNT(E108:E113)</f>
        <v>6</v>
      </c>
      <c r="F117" s="173">
        <f>COUNT(F108:F113)</f>
        <v>6</v>
      </c>
      <c r="I117" s="23"/>
      <c r="J117" s="154"/>
    </row>
    <row r="118" spans="1:10" ht="19.5" customHeight="1" x14ac:dyDescent="0.3">
      <c r="A118" s="447"/>
      <c r="B118" s="450"/>
      <c r="C118" s="23"/>
      <c r="D118" s="23"/>
      <c r="E118" s="23"/>
      <c r="F118" s="117"/>
      <c r="G118" s="23"/>
      <c r="H118" s="23"/>
      <c r="I118" s="23"/>
    </row>
    <row r="119" spans="1:10" ht="18.75" x14ac:dyDescent="0.3">
      <c r="A119" s="182"/>
      <c r="B119" s="45"/>
      <c r="C119" s="23"/>
      <c r="D119" s="23"/>
      <c r="E119" s="23"/>
      <c r="F119" s="117"/>
      <c r="G119" s="23"/>
      <c r="H119" s="23"/>
      <c r="I119" s="23"/>
    </row>
    <row r="120" spans="1:10" ht="26.25" customHeight="1" x14ac:dyDescent="0.4">
      <c r="A120" s="33" t="s">
        <v>102</v>
      </c>
      <c r="B120" s="124" t="s">
        <v>119</v>
      </c>
      <c r="C120" s="458" t="str">
        <f>B20</f>
        <v>Artemether 20mg, Lumefantrine 120mg</v>
      </c>
      <c r="D120" s="458"/>
      <c r="E120" s="125" t="s">
        <v>120</v>
      </c>
      <c r="F120" s="125"/>
      <c r="G120" s="126">
        <f>F115</f>
        <v>0.79641979142238029</v>
      </c>
      <c r="H120" s="23"/>
      <c r="I120" s="23"/>
    </row>
    <row r="121" spans="1:10" ht="19.5" customHeight="1" x14ac:dyDescent="0.3">
      <c r="A121" s="174"/>
      <c r="B121" s="174"/>
      <c r="C121" s="175"/>
      <c r="D121" s="175"/>
      <c r="E121" s="175"/>
      <c r="F121" s="175"/>
      <c r="G121" s="175"/>
      <c r="H121" s="175"/>
    </row>
    <row r="122" spans="1:10" ht="18.75" x14ac:dyDescent="0.3">
      <c r="B122" s="459" t="s">
        <v>22</v>
      </c>
      <c r="C122" s="459"/>
      <c r="E122" s="131" t="s">
        <v>23</v>
      </c>
      <c r="F122" s="176"/>
      <c r="G122" s="459" t="s">
        <v>24</v>
      </c>
      <c r="H122" s="459"/>
    </row>
    <row r="123" spans="1:10" ht="43.5" customHeight="1" x14ac:dyDescent="0.3">
      <c r="A123" s="177" t="s">
        <v>25</v>
      </c>
      <c r="B123" s="178"/>
      <c r="C123" s="178"/>
      <c r="E123" s="178"/>
      <c r="F123" s="23"/>
      <c r="G123" s="179"/>
      <c r="H123" s="179"/>
    </row>
    <row r="124" spans="1:10" ht="45" customHeight="1" x14ac:dyDescent="0.3">
      <c r="A124" s="177" t="s">
        <v>26</v>
      </c>
      <c r="B124" s="180"/>
      <c r="C124" s="180"/>
      <c r="E124" s="180"/>
      <c r="F124" s="23"/>
      <c r="G124" s="181"/>
      <c r="H124" s="181"/>
    </row>
    <row r="125" spans="1:10" ht="18.75" x14ac:dyDescent="0.3">
      <c r="A125" s="116"/>
      <c r="B125" s="116"/>
      <c r="C125" s="117"/>
      <c r="D125" s="117"/>
      <c r="E125" s="117"/>
      <c r="F125" s="121"/>
      <c r="G125" s="117"/>
      <c r="H125" s="117"/>
      <c r="I125" s="23"/>
    </row>
    <row r="126" spans="1:10" ht="18.75" x14ac:dyDescent="0.3">
      <c r="A126" s="116"/>
      <c r="B126" s="116"/>
      <c r="C126" s="117"/>
      <c r="D126" s="117"/>
      <c r="E126" s="117"/>
      <c r="F126" s="121"/>
      <c r="G126" s="117"/>
      <c r="H126" s="117"/>
      <c r="I126" s="23"/>
    </row>
    <row r="127" spans="1:10" ht="18.75" x14ac:dyDescent="0.3">
      <c r="A127" s="116"/>
      <c r="B127" s="116"/>
      <c r="C127" s="117"/>
      <c r="D127" s="117"/>
      <c r="E127" s="117"/>
      <c r="F127" s="121"/>
      <c r="G127" s="117"/>
      <c r="H127" s="117"/>
      <c r="I127" s="23"/>
    </row>
    <row r="128" spans="1:10" ht="18.75" x14ac:dyDescent="0.3">
      <c r="A128" s="116"/>
      <c r="B128" s="116"/>
      <c r="C128" s="117"/>
      <c r="D128" s="117"/>
      <c r="E128" s="117"/>
      <c r="F128" s="121"/>
      <c r="G128" s="117"/>
      <c r="H128" s="117"/>
      <c r="I128" s="23"/>
    </row>
    <row r="129" spans="1:9" ht="18.75" x14ac:dyDescent="0.3">
      <c r="A129" s="116"/>
      <c r="B129" s="116"/>
      <c r="C129" s="117"/>
      <c r="D129" s="117"/>
      <c r="E129" s="117"/>
      <c r="F129" s="121"/>
      <c r="G129" s="117"/>
      <c r="H129" s="117"/>
      <c r="I129" s="23"/>
    </row>
    <row r="130" spans="1:9" ht="18.75" x14ac:dyDescent="0.3">
      <c r="A130" s="116"/>
      <c r="B130" s="116"/>
      <c r="C130" s="117"/>
      <c r="D130" s="117"/>
      <c r="E130" s="117"/>
      <c r="F130" s="121"/>
      <c r="G130" s="117"/>
      <c r="H130" s="117"/>
      <c r="I130" s="23"/>
    </row>
    <row r="131" spans="1:9" ht="18.75" x14ac:dyDescent="0.3">
      <c r="A131" s="116"/>
      <c r="B131" s="116"/>
      <c r="C131" s="117"/>
      <c r="D131" s="117"/>
      <c r="E131" s="117"/>
      <c r="F131" s="121"/>
      <c r="G131" s="117"/>
      <c r="H131" s="117"/>
      <c r="I131" s="23"/>
    </row>
    <row r="132" spans="1:9" ht="18.75" x14ac:dyDescent="0.3">
      <c r="A132" s="116"/>
      <c r="B132" s="116"/>
      <c r="C132" s="117"/>
      <c r="D132" s="117"/>
      <c r="E132" s="117"/>
      <c r="F132" s="121"/>
      <c r="G132" s="117"/>
      <c r="H132" s="117"/>
      <c r="I132" s="23"/>
    </row>
    <row r="133" spans="1:9" ht="18.75" x14ac:dyDescent="0.3">
      <c r="A133" s="116"/>
      <c r="B133" s="116"/>
      <c r="C133" s="117"/>
      <c r="D133" s="117"/>
      <c r="E133" s="117"/>
      <c r="F133" s="121"/>
      <c r="G133" s="117"/>
      <c r="H133" s="117"/>
      <c r="I133" s="2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paperSize="9" scale="22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ARTEMETHER </vt:lpstr>
      <vt:lpstr>LUMEFANTRINE</vt:lpstr>
      <vt:lpstr>'ARTEMETHER '!Print_Area</vt:lpstr>
      <vt:lpstr>LUMEFANTRINE!Print_Area</vt:lpstr>
      <vt:lpstr>SST!Print_Area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cp:lastPrinted>2015-12-22T10:02:42Z</cp:lastPrinted>
  <dcterms:created xsi:type="dcterms:W3CDTF">2005-07-05T10:19:27Z</dcterms:created>
  <dcterms:modified xsi:type="dcterms:W3CDTF">2015-12-23T09:20:50Z</dcterms:modified>
  <cp:category/>
</cp:coreProperties>
</file>