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55" windowWidth="15015" windowHeight="7620" activeTab="4"/>
  </bookViews>
  <sheets>
    <sheet name="SST" sheetId="7" r:id="rId1"/>
    <sheet name="Uniformity" sheetId="2" r:id="rId2"/>
    <sheet name="ARTEMETHER 1" sheetId="6" r:id="rId3"/>
    <sheet name="ARTEMETHER diss 2" sheetId="5" r:id="rId4"/>
    <sheet name="LUMEFANTRINE" sheetId="4" r:id="rId5"/>
  </sheets>
  <definedNames>
    <definedName name="_xlnm.Print_Area" localSheetId="2">'ARTEMETHER 1'!$A$1:$I$146</definedName>
    <definedName name="_xlnm.Print_Area" localSheetId="3">'ARTEMETHER diss 2'!$A$1:$I$146</definedName>
    <definedName name="_xlnm.Print_Area" localSheetId="0">SST!$A$1:$E$92</definedName>
    <definedName name="_xlnm.Print_Area" localSheetId="1">Uniformity!$A$1:$G$57</definedName>
  </definedNames>
  <calcPr calcId="144525"/>
</workbook>
</file>

<file path=xl/calcChain.xml><?xml version="1.0" encoding="utf-8"?>
<calcChain xmlns="http://schemas.openxmlformats.org/spreadsheetml/2006/main">
  <c r="B74" i="7" l="1"/>
  <c r="B73" i="7"/>
  <c r="B72" i="7"/>
  <c r="B71" i="7"/>
  <c r="B52" i="7"/>
  <c r="B51" i="7"/>
  <c r="B50" i="7"/>
  <c r="B49" i="7"/>
  <c r="B31" i="7"/>
  <c r="B30" i="7"/>
  <c r="B29" i="7"/>
  <c r="B28" i="7"/>
  <c r="B10" i="7"/>
  <c r="B9" i="7"/>
  <c r="B8" i="7"/>
  <c r="B7" i="7"/>
  <c r="B6" i="7"/>
  <c r="B85" i="7"/>
  <c r="E83" i="7"/>
  <c r="D83" i="7"/>
  <c r="C83" i="7"/>
  <c r="B83" i="7"/>
  <c r="B84" i="7" s="1"/>
  <c r="B63" i="7"/>
  <c r="B62" i="7"/>
  <c r="E61" i="7"/>
  <c r="D61" i="7"/>
  <c r="B61" i="7"/>
  <c r="B42" i="7"/>
  <c r="E40" i="7"/>
  <c r="D40" i="7"/>
  <c r="B40" i="7"/>
  <c r="B41" i="7" s="1"/>
  <c r="B21" i="7"/>
  <c r="E19" i="7"/>
  <c r="D19" i="7"/>
  <c r="C19" i="7"/>
  <c r="B19" i="7"/>
  <c r="B20" i="7" s="1"/>
  <c r="B70" i="7"/>
  <c r="H74" i="6" l="1"/>
  <c r="H72" i="6"/>
  <c r="H73" i="6"/>
  <c r="C121" i="6"/>
  <c r="C76" i="6"/>
  <c r="C56" i="6"/>
  <c r="D42" i="6"/>
  <c r="F42" i="6"/>
  <c r="B23" i="4" l="1"/>
  <c r="B22" i="4"/>
  <c r="B23" i="5"/>
  <c r="B22" i="5"/>
  <c r="C19" i="2"/>
  <c r="C18" i="2"/>
  <c r="F96" i="6"/>
  <c r="D96" i="6"/>
  <c r="G95" i="6"/>
  <c r="E95" i="6"/>
  <c r="C138" i="6" l="1"/>
  <c r="B134" i="6"/>
  <c r="B117" i="6"/>
  <c r="D101" i="6"/>
  <c r="B99" i="6"/>
  <c r="B88" i="6"/>
  <c r="D98" i="6" s="1"/>
  <c r="D99" i="6" s="1"/>
  <c r="B84" i="6"/>
  <c r="B83" i="6"/>
  <c r="B82" i="6"/>
  <c r="B81" i="6"/>
  <c r="B80" i="6"/>
  <c r="H71" i="6"/>
  <c r="G71" i="6"/>
  <c r="G70" i="6"/>
  <c r="H70" i="6" s="1"/>
  <c r="G69" i="6"/>
  <c r="H69" i="6" s="1"/>
  <c r="G68" i="6"/>
  <c r="H68" i="6" s="1"/>
  <c r="B68" i="6"/>
  <c r="B69" i="6" s="1"/>
  <c r="H67" i="6"/>
  <c r="G67" i="6"/>
  <c r="H63" i="6"/>
  <c r="G63" i="6"/>
  <c r="B57" i="6"/>
  <c r="B55" i="6"/>
  <c r="D48" i="6"/>
  <c r="D49" i="6" s="1"/>
  <c r="B45" i="6"/>
  <c r="B34" i="6"/>
  <c r="D44" i="6" s="1"/>
  <c r="D45" i="6" s="1"/>
  <c r="D46" i="6" s="1"/>
  <c r="B30" i="6"/>
  <c r="D102" i="6" l="1"/>
  <c r="D100" i="6"/>
  <c r="E94" i="6"/>
  <c r="E92" i="6"/>
  <c r="E93" i="6"/>
  <c r="D103" i="6"/>
  <c r="E38" i="6"/>
  <c r="E40" i="6"/>
  <c r="F44" i="6"/>
  <c r="F45" i="6" s="1"/>
  <c r="G38" i="6" s="1"/>
  <c r="F98" i="6"/>
  <c r="F99" i="6" s="1"/>
  <c r="E39" i="6"/>
  <c r="E41" i="6"/>
  <c r="E96" i="6" l="1"/>
  <c r="F100" i="6"/>
  <c r="G93" i="6"/>
  <c r="G94" i="6"/>
  <c r="G92" i="6"/>
  <c r="D106" i="6"/>
  <c r="G41" i="6"/>
  <c r="D50" i="6" s="1"/>
  <c r="F46" i="6"/>
  <c r="G39" i="6"/>
  <c r="E42" i="6"/>
  <c r="G40" i="6"/>
  <c r="D52" i="6" l="1"/>
  <c r="G96" i="6"/>
  <c r="G66" i="6"/>
  <c r="H66" i="6" s="1"/>
  <c r="G62" i="6"/>
  <c r="H62" i="6" s="1"/>
  <c r="D51" i="6"/>
  <c r="G64" i="6"/>
  <c r="H64" i="6" s="1"/>
  <c r="G60" i="6"/>
  <c r="H60" i="6" s="1"/>
  <c r="G65" i="6"/>
  <c r="H65" i="6" s="1"/>
  <c r="G61" i="6"/>
  <c r="H61" i="6" s="1"/>
  <c r="G42" i="6"/>
  <c r="D104" i="6"/>
  <c r="E130" i="6" l="1"/>
  <c r="F130" i="6" s="1"/>
  <c r="E126" i="6"/>
  <c r="F126" i="6" s="1"/>
  <c r="E114" i="6"/>
  <c r="F114" i="6" s="1"/>
  <c r="E110" i="6"/>
  <c r="F110" i="6" s="1"/>
  <c r="E131" i="6"/>
  <c r="F131" i="6" s="1"/>
  <c r="E129" i="6"/>
  <c r="F129" i="6" s="1"/>
  <c r="E127" i="6"/>
  <c r="F127" i="6" s="1"/>
  <c r="E113" i="6"/>
  <c r="F113" i="6" s="1"/>
  <c r="E111" i="6"/>
  <c r="F111" i="6" s="1"/>
  <c r="E109" i="6"/>
  <c r="F109" i="6" s="1"/>
  <c r="E128" i="6"/>
  <c r="F128" i="6" s="1"/>
  <c r="E112" i="6"/>
  <c r="F112" i="6" s="1"/>
  <c r="D105" i="6"/>
  <c r="F118" i="6" l="1"/>
  <c r="F116" i="6"/>
  <c r="F133" i="6"/>
  <c r="F135" i="6"/>
  <c r="G76" i="6"/>
  <c r="G121" i="6" l="1"/>
  <c r="F117" i="6"/>
  <c r="G138" i="6"/>
  <c r="F134" i="6"/>
  <c r="F42" i="5" l="1"/>
  <c r="D42" i="5"/>
  <c r="F95" i="4" l="1"/>
  <c r="D95" i="4"/>
  <c r="G94" i="4"/>
  <c r="E94" i="4"/>
  <c r="F42" i="4"/>
  <c r="D42" i="4"/>
  <c r="F96" i="5" l="1"/>
  <c r="D96" i="5"/>
  <c r="G95" i="5"/>
  <c r="E95" i="5"/>
  <c r="C138" i="5" l="1"/>
  <c r="B134" i="5"/>
  <c r="C121" i="5"/>
  <c r="B117" i="5"/>
  <c r="D101" i="5" s="1"/>
  <c r="B99" i="5"/>
  <c r="B88" i="5"/>
  <c r="B83" i="5"/>
  <c r="B82" i="5"/>
  <c r="B84" i="5" s="1"/>
  <c r="B81" i="5"/>
  <c r="B80" i="5"/>
  <c r="C76" i="5"/>
  <c r="H71" i="5"/>
  <c r="G71" i="5"/>
  <c r="B68" i="5"/>
  <c r="H67" i="5"/>
  <c r="G67" i="5"/>
  <c r="H63" i="5"/>
  <c r="G63" i="5"/>
  <c r="C56" i="5"/>
  <c r="B55" i="5"/>
  <c r="B45" i="5"/>
  <c r="D48" i="5" s="1"/>
  <c r="B34" i="5"/>
  <c r="F44" i="5" s="1"/>
  <c r="B30" i="5"/>
  <c r="C120" i="4"/>
  <c r="B116" i="4"/>
  <c r="D100" i="4" s="1"/>
  <c r="B98" i="4"/>
  <c r="I92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I39" i="4"/>
  <c r="B34" i="4"/>
  <c r="D44" i="4" s="1"/>
  <c r="B30" i="4"/>
  <c r="C50" i="2"/>
  <c r="D49" i="2"/>
  <c r="C46" i="2"/>
  <c r="B57" i="4" s="1"/>
  <c r="C45" i="2"/>
  <c r="D43" i="2"/>
  <c r="D39" i="2"/>
  <c r="D37" i="2"/>
  <c r="D33" i="2"/>
  <c r="D32" i="2"/>
  <c r="D30" i="2"/>
  <c r="D29" i="2"/>
  <c r="D28" i="2"/>
  <c r="D26" i="2"/>
  <c r="D25" i="2"/>
  <c r="D24" i="2"/>
  <c r="D101" i="4" l="1"/>
  <c r="D102" i="4" s="1"/>
  <c r="D45" i="4"/>
  <c r="E41" i="4" s="1"/>
  <c r="F98" i="4"/>
  <c r="E38" i="4"/>
  <c r="D102" i="5"/>
  <c r="D103" i="5" s="1"/>
  <c r="F45" i="5"/>
  <c r="B69" i="4"/>
  <c r="D49" i="4"/>
  <c r="B69" i="5"/>
  <c r="D49" i="5"/>
  <c r="D35" i="2"/>
  <c r="D40" i="2"/>
  <c r="D27" i="2"/>
  <c r="D31" i="2"/>
  <c r="D36" i="2"/>
  <c r="D41" i="2"/>
  <c r="C49" i="2"/>
  <c r="D97" i="4"/>
  <c r="D98" i="4" s="1"/>
  <c r="D44" i="5"/>
  <c r="D45" i="5" s="1"/>
  <c r="F44" i="4"/>
  <c r="F45" i="4" s="1"/>
  <c r="D98" i="5"/>
  <c r="D99" i="5" s="1"/>
  <c r="F98" i="5"/>
  <c r="F99" i="5" s="1"/>
  <c r="D50" i="2"/>
  <c r="B49" i="2"/>
  <c r="D42" i="2"/>
  <c r="D38" i="2"/>
  <c r="D34" i="2"/>
  <c r="B57" i="5"/>
  <c r="D46" i="5" l="1"/>
  <c r="E41" i="5"/>
  <c r="E39" i="5"/>
  <c r="E40" i="5"/>
  <c r="E38" i="5"/>
  <c r="E42" i="5" s="1"/>
  <c r="F46" i="5"/>
  <c r="G40" i="5"/>
  <c r="G38" i="5"/>
  <c r="G41" i="5"/>
  <c r="G39" i="5"/>
  <c r="E92" i="4"/>
  <c r="E93" i="4"/>
  <c r="E91" i="4"/>
  <c r="F99" i="4"/>
  <c r="G92" i="4"/>
  <c r="G93" i="4"/>
  <c r="G91" i="4"/>
  <c r="E39" i="4"/>
  <c r="D46" i="4"/>
  <c r="E40" i="4"/>
  <c r="F46" i="4"/>
  <c r="G40" i="4"/>
  <c r="G38" i="4"/>
  <c r="G41" i="4"/>
  <c r="G39" i="4"/>
  <c r="G93" i="5"/>
  <c r="G94" i="5"/>
  <c r="G92" i="5"/>
  <c r="E93" i="5"/>
  <c r="E94" i="5"/>
  <c r="E92" i="5"/>
  <c r="E96" i="5" s="1"/>
  <c r="D100" i="5"/>
  <c r="F100" i="5"/>
  <c r="D99" i="4"/>
  <c r="E42" i="4" l="1"/>
  <c r="D50" i="4"/>
  <c r="G64" i="4" s="1"/>
  <c r="H64" i="4" s="1"/>
  <c r="G42" i="5"/>
  <c r="G95" i="4"/>
  <c r="E95" i="4"/>
  <c r="G42" i="4"/>
  <c r="D52" i="4"/>
  <c r="G96" i="5"/>
  <c r="D50" i="5"/>
  <c r="D52" i="5"/>
  <c r="D103" i="4"/>
  <c r="D105" i="4"/>
  <c r="D106" i="5"/>
  <c r="D104" i="5"/>
  <c r="E130" i="5" s="1"/>
  <c r="G71" i="4"/>
  <c r="H71" i="4" s="1"/>
  <c r="G66" i="4"/>
  <c r="H66" i="4" s="1"/>
  <c r="G63" i="4"/>
  <c r="H63" i="4" s="1"/>
  <c r="G60" i="4"/>
  <c r="G65" i="4"/>
  <c r="H65" i="4" s="1"/>
  <c r="D51" i="4"/>
  <c r="G67" i="4"/>
  <c r="H67" i="4" s="1"/>
  <c r="G70" i="4" l="1"/>
  <c r="H70" i="4" s="1"/>
  <c r="G69" i="4"/>
  <c r="H69" i="4" s="1"/>
  <c r="G61" i="4"/>
  <c r="H61" i="4" s="1"/>
  <c r="G68" i="4"/>
  <c r="H68" i="4" s="1"/>
  <c r="G62" i="4"/>
  <c r="H62" i="4" s="1"/>
  <c r="H60" i="4"/>
  <c r="E112" i="4"/>
  <c r="F112" i="4" s="1"/>
  <c r="E110" i="4"/>
  <c r="F110" i="4" s="1"/>
  <c r="E108" i="4"/>
  <c r="E109" i="4"/>
  <c r="F109" i="4" s="1"/>
  <c r="E111" i="4"/>
  <c r="F111" i="4" s="1"/>
  <c r="E113" i="4"/>
  <c r="F113" i="4" s="1"/>
  <c r="D104" i="4"/>
  <c r="F130" i="5"/>
  <c r="E131" i="5"/>
  <c r="F131" i="5" s="1"/>
  <c r="E129" i="5"/>
  <c r="F129" i="5" s="1"/>
  <c r="E127" i="5"/>
  <c r="F127" i="5" s="1"/>
  <c r="E113" i="5"/>
  <c r="F113" i="5" s="1"/>
  <c r="E111" i="5"/>
  <c r="F111" i="5" s="1"/>
  <c r="E109" i="5"/>
  <c r="F109" i="5" s="1"/>
  <c r="E112" i="5"/>
  <c r="F112" i="5" s="1"/>
  <c r="E110" i="5"/>
  <c r="F110" i="5" s="1"/>
  <c r="E128" i="5"/>
  <c r="F128" i="5" s="1"/>
  <c r="D105" i="5"/>
  <c r="E126" i="5"/>
  <c r="F126" i="5" s="1"/>
  <c r="E114" i="5"/>
  <c r="F114" i="5" s="1"/>
  <c r="G70" i="5"/>
  <c r="H70" i="5" s="1"/>
  <c r="G65" i="5"/>
  <c r="H65" i="5" s="1"/>
  <c r="G61" i="5"/>
  <c r="H61" i="5" s="1"/>
  <c r="G68" i="5"/>
  <c r="H68" i="5" s="1"/>
  <c r="G64" i="5"/>
  <c r="H64" i="5" s="1"/>
  <c r="G62" i="5"/>
  <c r="H62" i="5" s="1"/>
  <c r="D51" i="5"/>
  <c r="G66" i="5"/>
  <c r="H66" i="5" s="1"/>
  <c r="G69" i="5"/>
  <c r="H69" i="5" s="1"/>
  <c r="G60" i="5"/>
  <c r="H60" i="5" s="1"/>
  <c r="G74" i="4" l="1"/>
  <c r="G72" i="4"/>
  <c r="G73" i="4" s="1"/>
  <c r="F133" i="5"/>
  <c r="F135" i="5"/>
  <c r="F118" i="5"/>
  <c r="F116" i="5"/>
  <c r="H72" i="4"/>
  <c r="H74" i="4"/>
  <c r="H72" i="5"/>
  <c r="H74" i="5"/>
  <c r="E115" i="4"/>
  <c r="E116" i="4" s="1"/>
  <c r="E117" i="4"/>
  <c r="F108" i="4"/>
  <c r="G76" i="4" l="1"/>
  <c r="H73" i="4"/>
  <c r="G138" i="5"/>
  <c r="F134" i="5"/>
  <c r="G121" i="5"/>
  <c r="F117" i="5"/>
  <c r="F117" i="4"/>
  <c r="F115" i="4"/>
  <c r="G76" i="5"/>
  <c r="H73" i="5"/>
  <c r="G120" i="4" l="1"/>
  <c r="F116" i="4"/>
</calcChain>
</file>

<file path=xl/sharedStrings.xml><?xml version="1.0" encoding="utf-8"?>
<sst xmlns="http://schemas.openxmlformats.org/spreadsheetml/2006/main" count="637" uniqueCount="144">
  <si>
    <t>HPLC System Suitability Report</t>
  </si>
  <si>
    <t>Analysis Data</t>
  </si>
  <si>
    <t>Assay</t>
  </si>
  <si>
    <t>Sample(s)</t>
  </si>
  <si>
    <t>Reference Substance:</t>
  </si>
  <si>
    <t>KILLMAL</t>
  </si>
  <si>
    <t>% age Purity:</t>
  </si>
  <si>
    <t>NDQD201508186</t>
  </si>
  <si>
    <t>Weight (mg):</t>
  </si>
  <si>
    <t>Artemether 80mg, Lumefantrine 480mg</t>
  </si>
  <si>
    <t>Standard Conc (mg/mL):</t>
  </si>
  <si>
    <t>Each film coated tablet contains:
Artemether 80 mg
Lumefantrine 480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</si>
  <si>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</si>
  <si>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</si>
  <si>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</si>
  <si>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</si>
  <si>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</si>
  <si>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</si>
  <si>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</si>
  <si>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</si>
  <si>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</si>
  <si>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</si>
  <si>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</si>
  <si>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</si>
  <si>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</si>
  <si>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</si>
  <si>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</si>
  <si>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</si>
  <si>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</si>
  <si>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</si>
  <si>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</si>
  <si>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</si>
  <si>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</si>
  <si>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</si>
  <si>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</si>
  <si>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</si>
  <si>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</si>
  <si>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</si>
  <si>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</si>
  <si>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</si>
  <si>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</si>
  <si>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</si>
  <si>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</si>
  <si>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</si>
  <si>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</si>
  <si>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</si>
  <si>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</si>
  <si>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</si>
  <si>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</si>
  <si>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</si>
  <si>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</si>
  <si>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</si>
  <si>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</si>
  <si>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</si>
  <si>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</si>
  <si>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</si>
  <si>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</si>
  <si>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</si>
  <si>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</si>
  <si>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</si>
  <si>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</si>
  <si>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</si>
  <si>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</si>
  <si>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</si>
  <si>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</si>
  <si>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</si>
  <si>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</si>
  <si>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</si>
  <si>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</si>
  <si>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</si>
  <si>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</si>
  <si>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</si>
  <si>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</si>
  <si>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</si>
  <si>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</si>
  <si>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</si>
  <si>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</si>
  <si>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</si>
  <si>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</si>
  <si>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</si>
  <si>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</si>
  <si>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</si>
  <si>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</si>
  <si>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</si>
  <si>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</si>
  <si>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</si>
  <si>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</si>
  <si>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</si>
  <si>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</si>
  <si>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</si>
  <si>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</si>
  <si>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</si>
  <si>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</si>
  <si>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</si>
  <si>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</si>
  <si>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</si>
  <si>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</si>
  <si>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</si>
  <si>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</si>
  <si>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</si>
  <si>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</si>
  <si>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</si>
  <si>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</si>
  <si>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</si>
  <si>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</si>
  <si>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</si>
  <si>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</si>
  <si>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</si>
  <si>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</si>
  <si>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</si>
  <si>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</si>
  <si>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</si>
  <si>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</si>
  <si>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</si>
  <si>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</si>
  <si>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</si>
  <si>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</si>
  <si>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</si>
  <si>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</si>
  <si>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</si>
  <si>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</si>
  <si>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</si>
  <si>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</si>
  <si>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</si>
  <si>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F0J018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</si>
  <si>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</si>
  <si>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</si>
  <si>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</si>
  <si>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</si>
  <si>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</si>
  <si>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</si>
  <si>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</si>
  <si>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1hr</t>
  </si>
  <si>
    <t>tablet No.</t>
  </si>
  <si>
    <t>3hrs</t>
  </si>
  <si>
    <t>ARTEMETHER</t>
  </si>
  <si>
    <t xml:space="preserve">  </t>
  </si>
  <si>
    <t>LUMEFANTRINE</t>
  </si>
  <si>
    <t>WS/14/046</t>
  </si>
  <si>
    <t>Joyfrida</t>
  </si>
  <si>
    <t>29th DEC 2015</t>
  </si>
  <si>
    <t>4TH Dec 2015</t>
  </si>
  <si>
    <t>Dissolution Repeat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</si>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</sst>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20"/>
      <name val="Book Antiqua"/>
      <family val="1"/>
    </font>
    <font>
      <b/>
      <sz val="14"/>
      <name val="Book Antiqua"/>
      <family val="1"/>
    </font>
    <font>
      <b/>
      <sz val="1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0" fillId="2" borderId="0"/>
    <xf numFmtId="0" fontId="30" fillId="2" borderId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3" xfId="0" applyFont="1" applyFill="1" applyBorder="1"/>
    <xf numFmtId="0" fontId="11" fillId="2" borderId="59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169" fontId="11" fillId="3" borderId="0" xfId="0" applyNumberFormat="1" applyFont="1" applyFill="1" applyAlignment="1" applyProtection="1">
      <alignment horizontal="left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2" fontId="14" fillId="2" borderId="44" xfId="0" applyNumberFormat="1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3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0" fontId="13" fillId="7" borderId="46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23" fillId="3" borderId="0" xfId="0" applyFont="1" applyFill="1" applyAlignment="1" applyProtection="1">
      <alignment horizontal="center"/>
      <protection locked="0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6" fillId="3" borderId="3" xfId="0" applyFont="1" applyFill="1" applyBorder="1" applyAlignment="1" applyProtection="1">
      <alignment horizontal="center"/>
      <protection locked="0"/>
    </xf>
    <xf numFmtId="2" fontId="13" fillId="3" borderId="52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 applyProtection="1">
      <alignment horizontal="center"/>
      <protection locked="0"/>
    </xf>
    <xf numFmtId="171" fontId="14" fillId="2" borderId="26" xfId="0" applyNumberFormat="1" applyFont="1" applyFill="1" applyBorder="1" applyAlignment="1">
      <alignment horizontal="center"/>
    </xf>
    <xf numFmtId="171" fontId="14" fillId="2" borderId="30" xfId="0" applyNumberFormat="1" applyFont="1" applyFill="1" applyBorder="1" applyAlignment="1">
      <alignment horizontal="center"/>
    </xf>
    <xf numFmtId="171" fontId="14" fillId="2" borderId="31" xfId="0" applyNumberFormat="1" applyFont="1" applyFill="1" applyBorder="1" applyAlignment="1">
      <alignment horizontal="center"/>
    </xf>
    <xf numFmtId="171" fontId="14" fillId="2" borderId="32" xfId="0" applyNumberFormat="1" applyFont="1" applyFill="1" applyBorder="1" applyAlignment="1">
      <alignment horizontal="center"/>
    </xf>
    <xf numFmtId="171" fontId="14" fillId="2" borderId="35" xfId="0" applyNumberFormat="1" applyFont="1" applyFill="1" applyBorder="1" applyAlignment="1">
      <alignment horizontal="center"/>
    </xf>
    <xf numFmtId="171" fontId="14" fillId="2" borderId="36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0" fontId="27" fillId="3" borderId="29" xfId="0" applyFont="1" applyFill="1" applyBorder="1" applyAlignment="1" applyProtection="1">
      <alignment horizontal="center"/>
      <protection locked="0"/>
    </xf>
    <xf numFmtId="171" fontId="28" fillId="2" borderId="26" xfId="0" applyNumberFormat="1" applyFont="1" applyFill="1" applyBorder="1" applyAlignment="1">
      <alignment horizontal="center"/>
    </xf>
    <xf numFmtId="171" fontId="28" fillId="2" borderId="30" xfId="0" applyNumberFormat="1" applyFont="1" applyFill="1" applyBorder="1" applyAlignment="1">
      <alignment horizontal="center"/>
    </xf>
    <xf numFmtId="0" fontId="27" fillId="3" borderId="23" xfId="0" applyFont="1" applyFill="1" applyBorder="1" applyAlignment="1" applyProtection="1">
      <alignment horizontal="center"/>
      <protection locked="0"/>
    </xf>
    <xf numFmtId="171" fontId="28" fillId="2" borderId="31" xfId="0" applyNumberFormat="1" applyFont="1" applyFill="1" applyBorder="1" applyAlignment="1">
      <alignment horizontal="center"/>
    </xf>
    <xf numFmtId="171" fontId="28" fillId="2" borderId="32" xfId="0" applyNumberFormat="1" applyFont="1" applyFill="1" applyBorder="1" applyAlignment="1">
      <alignment horizontal="center"/>
    </xf>
    <xf numFmtId="0" fontId="27" fillId="3" borderId="34" xfId="0" applyFont="1" applyFill="1" applyBorder="1" applyAlignment="1" applyProtection="1">
      <alignment horizontal="center"/>
      <protection locked="0"/>
    </xf>
    <xf numFmtId="171" fontId="28" fillId="2" borderId="35" xfId="0" applyNumberFormat="1" applyFont="1" applyFill="1" applyBorder="1" applyAlignment="1">
      <alignment horizontal="center"/>
    </xf>
    <xf numFmtId="171" fontId="27" fillId="3" borderId="34" xfId="0" applyNumberFormat="1" applyFont="1" applyFill="1" applyBorder="1" applyAlignment="1" applyProtection="1">
      <alignment horizontal="center"/>
      <protection locked="0"/>
    </xf>
    <xf numFmtId="171" fontId="28" fillId="2" borderId="36" xfId="0" applyNumberFormat="1" applyFont="1" applyFill="1" applyBorder="1" applyAlignment="1">
      <alignment horizontal="center"/>
    </xf>
    <xf numFmtId="1" fontId="28" fillId="6" borderId="49" xfId="0" applyNumberFormat="1" applyFont="1" applyFill="1" applyBorder="1" applyAlignment="1">
      <alignment horizontal="center"/>
    </xf>
    <xf numFmtId="171" fontId="28" fillId="6" borderId="38" xfId="0" applyNumberFormat="1" applyFont="1" applyFill="1" applyBorder="1" applyAlignment="1">
      <alignment horizontal="center"/>
    </xf>
    <xf numFmtId="1" fontId="28" fillId="6" borderId="50" xfId="0" applyNumberFormat="1" applyFont="1" applyFill="1" applyBorder="1" applyAlignment="1">
      <alignment horizontal="center"/>
    </xf>
    <xf numFmtId="1" fontId="28" fillId="6" borderId="15" xfId="0" applyNumberFormat="1" applyFont="1" applyFill="1" applyBorder="1" applyAlignment="1">
      <alignment horizontal="center"/>
    </xf>
    <xf numFmtId="0" fontId="27" fillId="3" borderId="52" xfId="0" applyFont="1" applyFill="1" applyBorder="1" applyAlignment="1" applyProtection="1">
      <alignment horizontal="center"/>
      <protection locked="0"/>
    </xf>
    <xf numFmtId="0" fontId="28" fillId="2" borderId="0" xfId="0" applyFont="1" applyFill="1"/>
    <xf numFmtId="0" fontId="27" fillId="3" borderId="16" xfId="0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169" fontId="11" fillId="2" borderId="0" xfId="0" applyNumberFormat="1" applyFont="1" applyFill="1"/>
    <xf numFmtId="10" fontId="11" fillId="8" borderId="14" xfId="0" applyNumberFormat="1" applyFont="1" applyFill="1" applyBorder="1" applyAlignment="1">
      <alignment horizontal="center" vertical="center"/>
    </xf>
    <xf numFmtId="10" fontId="11" fillId="8" borderId="15" xfId="0" applyNumberFormat="1" applyFont="1" applyFill="1" applyBorder="1" applyAlignment="1">
      <alignment horizontal="center" vertical="center"/>
    </xf>
    <xf numFmtId="164" fontId="12" fillId="6" borderId="49" xfId="0" applyNumberFormat="1" applyFont="1" applyFill="1" applyBorder="1" applyAlignment="1">
      <alignment horizontal="center"/>
    </xf>
    <xf numFmtId="164" fontId="12" fillId="6" borderId="50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6" fontId="5" fillId="2" borderId="0" xfId="1" applyNumberFormat="1" applyFont="1" applyFill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1" fillId="2" borderId="10" xfId="1" applyFont="1" applyFill="1" applyBorder="1" applyAlignment="1"/>
    <xf numFmtId="0" fontId="1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7" xfId="1" applyFont="1" applyFill="1" applyBorder="1" applyAlignment="1">
      <alignment horizontal="center"/>
    </xf>
    <xf numFmtId="0" fontId="1" fillId="2" borderId="11" xfId="1" applyFont="1" applyFill="1" applyBorder="1"/>
    <xf numFmtId="15" fontId="1" fillId="2" borderId="11" xfId="1" applyNumberFormat="1" applyFont="1" applyFill="1" applyBorder="1" applyAlignment="1">
      <alignment horizontal="center"/>
    </xf>
    <xf numFmtId="0" fontId="2" fillId="2" borderId="11" xfId="1" applyFont="1" applyFill="1" applyBorder="1"/>
    <xf numFmtId="0" fontId="30" fillId="2" borderId="0" xfId="1" applyFill="1"/>
    <xf numFmtId="0" fontId="3" fillId="2" borderId="0" xfId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4" fillId="2" borderId="1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2"/>
  <sheetViews>
    <sheetView view="pageBreakPreview" zoomScaleNormal="100" zoomScaleSheetLayoutView="100" workbookViewId="0">
      <selection activeCell="C89" sqref="C89"/>
    </sheetView>
  </sheetViews>
  <sheetFormatPr defaultRowHeight="13.5" x14ac:dyDescent="0.25"/>
  <cols>
    <col min="1" max="1" width="27.5703125" style="425" customWidth="1"/>
    <col min="2" max="2" width="28" style="425" customWidth="1"/>
    <col min="3" max="3" width="31.85546875" style="425" customWidth="1"/>
    <col min="4" max="4" width="25.85546875" style="425" customWidth="1"/>
    <col min="5" max="5" width="25.7109375" style="425" customWidth="1"/>
    <col min="6" max="6" width="21.5703125" style="425" customWidth="1"/>
    <col min="7" max="7" width="9.140625" style="425" customWidth="1"/>
    <col min="8" max="16384" width="9.140625" style="473"/>
  </cols>
  <sheetData>
    <row r="3" spans="1:5" ht="15" customHeight="1" x14ac:dyDescent="0.3">
      <c r="A3" s="424"/>
      <c r="C3" s="426"/>
    </row>
    <row r="4" spans="1:5" ht="18.75" customHeight="1" x14ac:dyDescent="0.3">
      <c r="A4" s="474" t="s">
        <v>0</v>
      </c>
      <c r="B4" s="474"/>
      <c r="C4" s="474"/>
      <c r="D4" s="474"/>
      <c r="E4" s="474"/>
    </row>
    <row r="5" spans="1:5" ht="16.5" customHeight="1" x14ac:dyDescent="0.3">
      <c r="A5" s="427" t="s">
        <v>1</v>
      </c>
      <c r="B5" s="428" t="s">
        <v>2</v>
      </c>
    </row>
    <row r="6" spans="1:5" ht="16.5" customHeight="1" x14ac:dyDescent="0.3">
      <c r="A6" s="429" t="s">
        <v>3</v>
      </c>
      <c r="B6" s="429" t="str">
        <f>'ARTEMETHER 1'!B18:C18</f>
        <v>KILLMAL</v>
      </c>
      <c r="D6" s="430"/>
      <c r="E6" s="431"/>
    </row>
    <row r="7" spans="1:5" ht="16.5" customHeight="1" x14ac:dyDescent="0.3">
      <c r="A7" s="432" t="s">
        <v>4</v>
      </c>
      <c r="B7" s="433" t="str">
        <f>'ARTEMETHER 1'!B26:C26</f>
        <v>ARTEMETHER</v>
      </c>
      <c r="C7" s="431"/>
      <c r="D7" s="431"/>
      <c r="E7" s="431"/>
    </row>
    <row r="8" spans="1:5" ht="16.5" customHeight="1" x14ac:dyDescent="0.3">
      <c r="A8" s="432" t="s">
        <v>6</v>
      </c>
      <c r="B8" s="434">
        <f>'ARTEMETHER 1'!B30</f>
        <v>99.8</v>
      </c>
      <c r="C8" s="431"/>
      <c r="D8" s="431"/>
      <c r="E8" s="431"/>
    </row>
    <row r="9" spans="1:5" ht="16.5" customHeight="1" x14ac:dyDescent="0.3">
      <c r="A9" s="429" t="s">
        <v>8</v>
      </c>
      <c r="B9" s="433">
        <f>'ARTEMETHER 1'!D43</f>
        <v>21.82</v>
      </c>
      <c r="C9" s="431"/>
      <c r="D9" s="431"/>
      <c r="E9" s="431"/>
    </row>
    <row r="10" spans="1:5" ht="16.5" customHeight="1" x14ac:dyDescent="0.3">
      <c r="A10" s="429" t="s">
        <v>10</v>
      </c>
      <c r="B10" s="435">
        <f>B9/'ARTEMETHER 1'!B45</f>
        <v>0.21820000000000001</v>
      </c>
      <c r="C10" s="431"/>
      <c r="D10" s="431"/>
      <c r="E10" s="431"/>
    </row>
    <row r="11" spans="1:5" ht="15.75" customHeight="1" x14ac:dyDescent="0.25">
      <c r="A11" s="431"/>
      <c r="B11" s="431"/>
      <c r="C11" s="431"/>
      <c r="D11" s="431"/>
      <c r="E11" s="431"/>
    </row>
    <row r="12" spans="1:5" ht="16.5" customHeight="1" x14ac:dyDescent="0.3">
      <c r="A12" s="436" t="s">
        <v>12</v>
      </c>
      <c r="B12" s="437" t="s">
        <v>13</v>
      </c>
      <c r="C12" s="436" t="s">
        <v>14</v>
      </c>
      <c r="D12" s="436" t="s">
        <v>15</v>
      </c>
      <c r="E12" s="436" t="s">
        <v>16</v>
      </c>
    </row>
    <row r="13" spans="1:5" ht="16.5" customHeight="1" x14ac:dyDescent="0.25">
      <c r="A13" s="438">
        <v>1</v>
      </c>
      <c r="B13" s="439">
        <v>2436275</v>
      </c>
      <c r="C13" s="440">
        <v>10953.9</v>
      </c>
      <c r="D13" s="440">
        <v>1.02</v>
      </c>
      <c r="E13" s="441">
        <v>5.63</v>
      </c>
    </row>
    <row r="14" spans="1:5" ht="16.5" customHeight="1" x14ac:dyDescent="0.25">
      <c r="A14" s="438">
        <v>2</v>
      </c>
      <c r="B14" s="439">
        <v>2433643</v>
      </c>
      <c r="C14" s="440">
        <v>10960.82</v>
      </c>
      <c r="D14" s="440">
        <v>1.02</v>
      </c>
      <c r="E14" s="440">
        <v>5.62</v>
      </c>
    </row>
    <row r="15" spans="1:5" ht="16.5" customHeight="1" x14ac:dyDescent="0.25">
      <c r="A15" s="438">
        <v>3</v>
      </c>
      <c r="B15" s="439">
        <v>2440825</v>
      </c>
      <c r="C15" s="440">
        <v>10882.21</v>
      </c>
      <c r="D15" s="440">
        <v>1</v>
      </c>
      <c r="E15" s="440">
        <v>5.63</v>
      </c>
    </row>
    <row r="16" spans="1:5" ht="16.5" customHeight="1" x14ac:dyDescent="0.25">
      <c r="A16" s="438">
        <v>4</v>
      </c>
      <c r="B16" s="439">
        <v>2444920</v>
      </c>
      <c r="C16" s="440">
        <v>10935.42</v>
      </c>
      <c r="D16" s="440">
        <v>1.02</v>
      </c>
      <c r="E16" s="440">
        <v>5.63</v>
      </c>
    </row>
    <row r="17" spans="1:5" ht="16.5" customHeight="1" x14ac:dyDescent="0.25">
      <c r="A17" s="438">
        <v>5</v>
      </c>
      <c r="B17" s="439">
        <v>2452603</v>
      </c>
      <c r="C17" s="440">
        <v>10967.62</v>
      </c>
      <c r="D17" s="440">
        <v>1.02</v>
      </c>
      <c r="E17" s="440">
        <v>5.63</v>
      </c>
    </row>
    <row r="18" spans="1:5" ht="16.5" customHeight="1" x14ac:dyDescent="0.25">
      <c r="A18" s="438">
        <v>6</v>
      </c>
      <c r="B18" s="442">
        <v>2440045</v>
      </c>
      <c r="C18" s="443">
        <v>10957.68</v>
      </c>
      <c r="D18" s="443">
        <v>1.03</v>
      </c>
      <c r="E18" s="443">
        <v>5.63</v>
      </c>
    </row>
    <row r="19" spans="1:5" ht="16.5" customHeight="1" x14ac:dyDescent="0.3">
      <c r="A19" s="444" t="s">
        <v>17</v>
      </c>
      <c r="B19" s="445">
        <f>AVERAGE(B13:B18)</f>
        <v>2441385.1666666665</v>
      </c>
      <c r="C19" s="446">
        <f>AVERAGE(C13:C18)</f>
        <v>10942.941666666666</v>
      </c>
      <c r="D19" s="446">
        <f>AVERAGE(D13:D18)</f>
        <v>1.0183333333333333</v>
      </c>
      <c r="E19" s="446">
        <f>AVERAGE(E13:E18)</f>
        <v>5.628333333333333</v>
      </c>
    </row>
    <row r="20" spans="1:5" ht="16.5" customHeight="1" x14ac:dyDescent="0.3">
      <c r="A20" s="447" t="s">
        <v>18</v>
      </c>
      <c r="B20" s="448">
        <f>(STDEV(B13:B18)/B19)</f>
        <v>2.7568455021685359E-3</v>
      </c>
      <c r="C20" s="449"/>
      <c r="D20" s="449"/>
      <c r="E20" s="450"/>
    </row>
    <row r="21" spans="1:5" s="425" customFormat="1" ht="16.5" customHeight="1" x14ac:dyDescent="0.3">
      <c r="A21" s="451" t="s">
        <v>19</v>
      </c>
      <c r="B21" s="452">
        <f>COUNT(B13:B18)</f>
        <v>6</v>
      </c>
      <c r="C21" s="453"/>
      <c r="D21" s="454"/>
      <c r="E21" s="455"/>
    </row>
    <row r="22" spans="1:5" s="425" customFormat="1" ht="15.75" customHeight="1" x14ac:dyDescent="0.25">
      <c r="A22" s="431"/>
      <c r="B22" s="431"/>
      <c r="C22" s="431"/>
      <c r="D22" s="431"/>
      <c r="E22" s="431"/>
    </row>
    <row r="23" spans="1:5" s="425" customFormat="1" ht="16.5" customHeight="1" x14ac:dyDescent="0.3">
      <c r="A23" s="432" t="s">
        <v>20</v>
      </c>
      <c r="B23" s="456" t="s">
        <v>21</v>
      </c>
      <c r="C23" s="457"/>
      <c r="D23" s="457"/>
      <c r="E23" s="457"/>
    </row>
    <row r="24" spans="1:5" ht="16.5" customHeight="1" x14ac:dyDescent="0.3">
      <c r="A24" s="432"/>
      <c r="B24" s="456" t="s">
        <v>22</v>
      </c>
      <c r="C24" s="457"/>
      <c r="D24" s="457"/>
      <c r="E24" s="457"/>
    </row>
    <row r="25" spans="1:5" ht="16.5" customHeight="1" x14ac:dyDescent="0.3">
      <c r="A25" s="432"/>
      <c r="B25" s="456" t="s">
        <v>23</v>
      </c>
      <c r="C25" s="457"/>
      <c r="D25" s="457"/>
      <c r="E25" s="457"/>
    </row>
    <row r="26" spans="1:5" s="425" customFormat="1" ht="15.75" customHeight="1" x14ac:dyDescent="0.25">
      <c r="A26" s="431"/>
      <c r="B26" s="431"/>
      <c r="C26" s="431"/>
      <c r="D26" s="431"/>
      <c r="E26" s="431"/>
    </row>
    <row r="27" spans="1:5" s="425" customFormat="1" ht="15.75" customHeight="1" x14ac:dyDescent="0.3">
      <c r="A27" s="427" t="s">
        <v>1</v>
      </c>
      <c r="B27" s="428" t="s">
        <v>24</v>
      </c>
    </row>
    <row r="28" spans="1:5" s="425" customFormat="1" ht="15.75" customHeight="1" x14ac:dyDescent="0.3">
      <c r="A28" s="432" t="s">
        <v>4</v>
      </c>
      <c r="B28" s="429" t="str">
        <f>'ARTEMETHER 1'!B80:C80</f>
        <v>ARTEMETHER</v>
      </c>
      <c r="C28" s="431"/>
      <c r="D28" s="431"/>
      <c r="E28" s="431"/>
    </row>
    <row r="29" spans="1:5" s="425" customFormat="1" ht="15.75" customHeight="1" x14ac:dyDescent="0.3">
      <c r="A29" s="432" t="s">
        <v>6</v>
      </c>
      <c r="B29" s="433">
        <f>'ARTEMETHER 1'!B84</f>
        <v>99.8</v>
      </c>
      <c r="C29" s="431"/>
      <c r="D29" s="431"/>
      <c r="E29" s="431"/>
    </row>
    <row r="30" spans="1:5" s="425" customFormat="1" ht="15.75" customHeight="1" x14ac:dyDescent="0.3">
      <c r="A30" s="429" t="s">
        <v>8</v>
      </c>
      <c r="B30" s="433">
        <f>'ARTEMETHER 1'!D97</f>
        <v>23.92</v>
      </c>
      <c r="C30" s="431"/>
      <c r="D30" s="431"/>
      <c r="E30" s="431"/>
    </row>
    <row r="31" spans="1:5" s="425" customFormat="1" ht="15.75" customHeight="1" x14ac:dyDescent="0.3">
      <c r="A31" s="429" t="s">
        <v>10</v>
      </c>
      <c r="B31" s="458">
        <f>B30/'ARTEMETHER 1'!B99</f>
        <v>2.392E-2</v>
      </c>
      <c r="C31" s="431"/>
      <c r="D31" s="431"/>
      <c r="E31" s="431"/>
    </row>
    <row r="32" spans="1:5" s="425" customFormat="1" ht="15.75" customHeight="1" x14ac:dyDescent="0.25">
      <c r="A32" s="431"/>
      <c r="B32" s="431"/>
      <c r="C32" s="431"/>
      <c r="D32" s="431"/>
      <c r="E32" s="431"/>
    </row>
    <row r="33" spans="1:5" s="425" customFormat="1" ht="15.75" customHeight="1" x14ac:dyDescent="0.3">
      <c r="A33" s="436" t="s">
        <v>12</v>
      </c>
      <c r="B33" s="437" t="s">
        <v>13</v>
      </c>
      <c r="C33" s="436" t="s">
        <v>14</v>
      </c>
      <c r="D33" s="436" t="s">
        <v>15</v>
      </c>
      <c r="E33" s="436" t="s">
        <v>16</v>
      </c>
    </row>
    <row r="34" spans="1:5" s="425" customFormat="1" ht="15.75" customHeight="1" x14ac:dyDescent="0.25">
      <c r="A34" s="438">
        <v>1</v>
      </c>
      <c r="B34" s="439">
        <v>1567219</v>
      </c>
      <c r="C34" s="439">
        <v>12905.23</v>
      </c>
      <c r="D34" s="440">
        <v>0.98</v>
      </c>
      <c r="E34" s="441">
        <v>9.02</v>
      </c>
    </row>
    <row r="35" spans="1:5" s="425" customFormat="1" ht="15.75" customHeight="1" x14ac:dyDescent="0.25">
      <c r="A35" s="438">
        <v>2</v>
      </c>
      <c r="B35" s="439">
        <v>1564818</v>
      </c>
      <c r="C35" s="439">
        <v>12730.26</v>
      </c>
      <c r="D35" s="440">
        <v>0.98</v>
      </c>
      <c r="E35" s="440">
        <v>9.02</v>
      </c>
    </row>
    <row r="36" spans="1:5" s="425" customFormat="1" ht="15.75" customHeight="1" x14ac:dyDescent="0.25">
      <c r="A36" s="438">
        <v>3</v>
      </c>
      <c r="B36" s="439">
        <v>1566946</v>
      </c>
      <c r="C36" s="439">
        <v>12589.65</v>
      </c>
      <c r="D36" s="440">
        <v>0.97</v>
      </c>
      <c r="E36" s="440">
        <v>9.02</v>
      </c>
    </row>
    <row r="37" spans="1:5" s="425" customFormat="1" ht="15.75" customHeight="1" x14ac:dyDescent="0.25">
      <c r="A37" s="438">
        <v>4</v>
      </c>
      <c r="B37" s="439">
        <v>1566543</v>
      </c>
      <c r="C37" s="439">
        <v>12508.57</v>
      </c>
      <c r="D37" s="440">
        <v>0.97</v>
      </c>
      <c r="E37" s="440">
        <v>9.02</v>
      </c>
    </row>
    <row r="38" spans="1:5" s="425" customFormat="1" ht="15.75" customHeight="1" x14ac:dyDescent="0.25">
      <c r="A38" s="438">
        <v>5</v>
      </c>
      <c r="B38" s="439">
        <v>1564489</v>
      </c>
      <c r="C38" s="439">
        <v>12388.38</v>
      </c>
      <c r="D38" s="440">
        <v>0.97</v>
      </c>
      <c r="E38" s="440">
        <v>9.02</v>
      </c>
    </row>
    <row r="39" spans="1:5" s="425" customFormat="1" ht="15.75" customHeight="1" x14ac:dyDescent="0.25">
      <c r="A39" s="438">
        <v>6</v>
      </c>
      <c r="B39" s="442">
        <v>1563373</v>
      </c>
      <c r="C39" s="442">
        <v>12421.91</v>
      </c>
      <c r="D39" s="443">
        <v>0.96</v>
      </c>
      <c r="E39" s="443">
        <v>9.02</v>
      </c>
    </row>
    <row r="40" spans="1:5" s="425" customFormat="1" ht="15.75" customHeight="1" x14ac:dyDescent="0.3">
      <c r="A40" s="444" t="s">
        <v>17</v>
      </c>
      <c r="B40" s="445">
        <f>AVERAGE(B34:B39)</f>
        <v>1565564.6666666667</v>
      </c>
      <c r="C40" s="459">
        <v>12247.41</v>
      </c>
      <c r="D40" s="446">
        <f>AVERAGE(D34:D39)</f>
        <v>0.97166666666666657</v>
      </c>
      <c r="E40" s="446">
        <f>AVERAGE(E34:E39)</f>
        <v>9.0199999999999978</v>
      </c>
    </row>
    <row r="41" spans="1:5" s="425" customFormat="1" ht="15.75" customHeight="1" x14ac:dyDescent="0.3">
      <c r="A41" s="447" t="s">
        <v>18</v>
      </c>
      <c r="B41" s="448">
        <f>(STDEV(B34:B39)/B40)</f>
        <v>9.9447864984795542E-4</v>
      </c>
      <c r="C41" s="449"/>
      <c r="D41" s="449"/>
      <c r="E41" s="450"/>
    </row>
    <row r="42" spans="1:5" s="425" customFormat="1" ht="15.75" customHeight="1" x14ac:dyDescent="0.3">
      <c r="A42" s="451" t="s">
        <v>19</v>
      </c>
      <c r="B42" s="452">
        <f>COUNT(B34:B39)</f>
        <v>6</v>
      </c>
      <c r="C42" s="453"/>
      <c r="D42" s="454"/>
      <c r="E42" s="455"/>
    </row>
    <row r="43" spans="1:5" s="425" customFormat="1" ht="15.75" customHeight="1" x14ac:dyDescent="0.25">
      <c r="A43" s="431"/>
      <c r="B43" s="431"/>
      <c r="C43" s="431"/>
      <c r="D43" s="431"/>
      <c r="E43" s="431"/>
    </row>
    <row r="44" spans="1:5" s="425" customFormat="1" ht="15.75" customHeight="1" x14ac:dyDescent="0.3">
      <c r="A44" s="432" t="s">
        <v>20</v>
      </c>
      <c r="B44" s="456" t="s">
        <v>21</v>
      </c>
      <c r="C44" s="457"/>
      <c r="D44" s="457"/>
      <c r="E44" s="457"/>
    </row>
    <row r="45" spans="1:5" s="425" customFormat="1" ht="15.75" customHeight="1" x14ac:dyDescent="0.3">
      <c r="A45" s="432"/>
      <c r="B45" s="456" t="s">
        <v>22</v>
      </c>
      <c r="C45" s="457"/>
      <c r="D45" s="457"/>
      <c r="E45" s="457"/>
    </row>
    <row r="46" spans="1:5" s="425" customFormat="1" ht="15.75" customHeight="1" x14ac:dyDescent="0.3">
      <c r="A46" s="432"/>
      <c r="B46" s="456" t="s">
        <v>23</v>
      </c>
      <c r="C46" s="457"/>
      <c r="D46" s="457"/>
      <c r="E46" s="457"/>
    </row>
    <row r="47" spans="1:5" s="425" customFormat="1" ht="15.75" customHeight="1" x14ac:dyDescent="0.3">
      <c r="A47" s="432"/>
      <c r="B47" s="456"/>
      <c r="C47" s="457"/>
      <c r="D47" s="457"/>
      <c r="E47" s="457"/>
    </row>
    <row r="48" spans="1:5" s="425" customFormat="1" ht="16.5" customHeight="1" x14ac:dyDescent="0.3">
      <c r="A48" s="427" t="s">
        <v>1</v>
      </c>
      <c r="B48" s="428" t="s">
        <v>142</v>
      </c>
    </row>
    <row r="49" spans="1:5" s="425" customFormat="1" ht="16.5" customHeight="1" x14ac:dyDescent="0.3">
      <c r="A49" s="432" t="s">
        <v>4</v>
      </c>
      <c r="B49" s="429" t="str">
        <f>'ARTEMETHER diss 2'!B80:C80</f>
        <v>ARTEMETHER</v>
      </c>
      <c r="C49" s="431"/>
      <c r="D49" s="431"/>
      <c r="E49" s="431"/>
    </row>
    <row r="50" spans="1:5" s="425" customFormat="1" ht="16.5" customHeight="1" x14ac:dyDescent="0.3">
      <c r="A50" s="432" t="s">
        <v>6</v>
      </c>
      <c r="B50" s="433">
        <f>'ARTEMETHER diss 2'!B84</f>
        <v>99.8</v>
      </c>
      <c r="C50" s="431"/>
      <c r="D50" s="431"/>
      <c r="E50" s="431"/>
    </row>
    <row r="51" spans="1:5" s="425" customFormat="1" ht="16.5" customHeight="1" x14ac:dyDescent="0.3">
      <c r="A51" s="429" t="s">
        <v>8</v>
      </c>
      <c r="B51" s="433">
        <f>'ARTEMETHER diss 2'!D97</f>
        <v>22</v>
      </c>
      <c r="C51" s="431"/>
      <c r="D51" s="431"/>
      <c r="E51" s="431"/>
    </row>
    <row r="52" spans="1:5" s="425" customFormat="1" ht="16.5" customHeight="1" x14ac:dyDescent="0.3">
      <c r="A52" s="429" t="s">
        <v>10</v>
      </c>
      <c r="B52" s="458">
        <f>B51/'ARTEMETHER diss 2'!B99</f>
        <v>2.1999999999999999E-2</v>
      </c>
      <c r="C52" s="431"/>
      <c r="D52" s="431"/>
      <c r="E52" s="431"/>
    </row>
    <row r="53" spans="1:5" s="425" customFormat="1" ht="15.75" customHeight="1" x14ac:dyDescent="0.25">
      <c r="A53" s="431"/>
      <c r="B53" s="431"/>
      <c r="C53" s="431"/>
      <c r="D53" s="431"/>
      <c r="E53" s="431"/>
    </row>
    <row r="54" spans="1:5" s="425" customFormat="1" ht="16.5" customHeight="1" x14ac:dyDescent="0.3">
      <c r="A54" s="436" t="s">
        <v>12</v>
      </c>
      <c r="B54" s="437" t="s">
        <v>13</v>
      </c>
      <c r="C54" s="436" t="s">
        <v>14</v>
      </c>
      <c r="D54" s="436" t="s">
        <v>15</v>
      </c>
      <c r="E54" s="436" t="s">
        <v>16</v>
      </c>
    </row>
    <row r="55" spans="1:5" s="425" customFormat="1" ht="16.5" customHeight="1" x14ac:dyDescent="0.3">
      <c r="A55" s="438">
        <v>1</v>
      </c>
      <c r="B55" s="460">
        <v>987944</v>
      </c>
      <c r="C55" s="460">
        <v>15290.14</v>
      </c>
      <c r="D55" s="461">
        <v>1.07</v>
      </c>
      <c r="E55" s="462">
        <v>7.41</v>
      </c>
    </row>
    <row r="56" spans="1:5" s="425" customFormat="1" ht="16.5" customHeight="1" x14ac:dyDescent="0.3">
      <c r="A56" s="438">
        <v>2</v>
      </c>
      <c r="B56" s="460">
        <v>983006</v>
      </c>
      <c r="C56" s="460">
        <v>15278.85</v>
      </c>
      <c r="D56" s="461">
        <v>1.06</v>
      </c>
      <c r="E56" s="461">
        <v>7.41</v>
      </c>
    </row>
    <row r="57" spans="1:5" s="425" customFormat="1" ht="16.5" customHeight="1" x14ac:dyDescent="0.3">
      <c r="A57" s="438">
        <v>3</v>
      </c>
      <c r="B57" s="460">
        <v>985639</v>
      </c>
      <c r="C57" s="460">
        <v>15329.16</v>
      </c>
      <c r="D57" s="461">
        <v>1.08</v>
      </c>
      <c r="E57" s="461">
        <v>7.41</v>
      </c>
    </row>
    <row r="58" spans="1:5" s="425" customFormat="1" ht="16.5" customHeight="1" x14ac:dyDescent="0.3">
      <c r="A58" s="438">
        <v>4</v>
      </c>
      <c r="B58" s="460">
        <v>979461</v>
      </c>
      <c r="C58" s="460">
        <v>15372.52</v>
      </c>
      <c r="D58" s="461">
        <v>1.07</v>
      </c>
      <c r="E58" s="461">
        <v>7.41</v>
      </c>
    </row>
    <row r="59" spans="1:5" s="425" customFormat="1" ht="16.5" customHeight="1" x14ac:dyDescent="0.3">
      <c r="A59" s="438">
        <v>5</v>
      </c>
      <c r="B59" s="460">
        <v>980665</v>
      </c>
      <c r="C59" s="460">
        <v>15319.31</v>
      </c>
      <c r="D59" s="461">
        <v>1.07</v>
      </c>
      <c r="E59" s="461">
        <v>7.41</v>
      </c>
    </row>
    <row r="60" spans="1:5" s="425" customFormat="1" ht="16.5" customHeight="1" x14ac:dyDescent="0.3">
      <c r="A60" s="438">
        <v>6</v>
      </c>
      <c r="B60" s="463">
        <v>980975</v>
      </c>
      <c r="C60" s="463">
        <v>15284.24</v>
      </c>
      <c r="D60" s="464">
        <v>1.07</v>
      </c>
      <c r="E60" s="464">
        <v>7.41</v>
      </c>
    </row>
    <row r="61" spans="1:5" s="425" customFormat="1" ht="16.5" customHeight="1" x14ac:dyDescent="0.3">
      <c r="A61" s="444" t="s">
        <v>17</v>
      </c>
      <c r="B61" s="445">
        <f>AVERAGE(B55:B60)</f>
        <v>982948.33333333337</v>
      </c>
      <c r="C61" s="459">
        <v>12247.41</v>
      </c>
      <c r="D61" s="446">
        <f>AVERAGE(D55:D60)</f>
        <v>1.07</v>
      </c>
      <c r="E61" s="446">
        <f>AVERAGE(E55:E60)</f>
        <v>7.4099999999999993</v>
      </c>
    </row>
    <row r="62" spans="1:5" s="425" customFormat="1" ht="16.5" customHeight="1" x14ac:dyDescent="0.3">
      <c r="A62" s="447" t="s">
        <v>18</v>
      </c>
      <c r="B62" s="448">
        <f>(STDEV(B55:B60)/B61)</f>
        <v>3.3268614762095631E-3</v>
      </c>
      <c r="C62" s="449"/>
      <c r="D62" s="449"/>
      <c r="E62" s="450"/>
    </row>
    <row r="63" spans="1:5" s="425" customFormat="1" ht="16.5" customHeight="1" x14ac:dyDescent="0.3">
      <c r="A63" s="451" t="s">
        <v>19</v>
      </c>
      <c r="B63" s="452">
        <f>COUNT(B55:B60)</f>
        <v>6</v>
      </c>
      <c r="C63" s="453"/>
      <c r="D63" s="454"/>
      <c r="E63" s="455"/>
    </row>
    <row r="64" spans="1:5" s="425" customFormat="1" ht="15.75" customHeight="1" x14ac:dyDescent="0.25">
      <c r="A64" s="431"/>
      <c r="B64" s="431"/>
      <c r="C64" s="431"/>
      <c r="D64" s="431"/>
      <c r="E64" s="431"/>
    </row>
    <row r="65" spans="1:5" s="425" customFormat="1" ht="16.5" customHeight="1" x14ac:dyDescent="0.3">
      <c r="A65" s="432" t="s">
        <v>20</v>
      </c>
      <c r="B65" s="456" t="s">
        <v>21</v>
      </c>
      <c r="C65" s="457"/>
      <c r="D65" s="457"/>
      <c r="E65" s="457"/>
    </row>
    <row r="66" spans="1:5" s="425" customFormat="1" ht="16.5" customHeight="1" x14ac:dyDescent="0.3">
      <c r="A66" s="432"/>
      <c r="B66" s="456" t="s">
        <v>22</v>
      </c>
      <c r="C66" s="457"/>
      <c r="D66" s="457"/>
      <c r="E66" s="457"/>
    </row>
    <row r="67" spans="1:5" s="425" customFormat="1" ht="16.5" customHeight="1" x14ac:dyDescent="0.3">
      <c r="A67" s="432"/>
      <c r="B67" s="456" t="s">
        <v>23</v>
      </c>
      <c r="C67" s="457"/>
      <c r="D67" s="457"/>
      <c r="E67" s="457"/>
    </row>
    <row r="68" spans="1:5" s="425" customFormat="1" ht="16.5" customHeight="1" x14ac:dyDescent="0.3">
      <c r="A68" s="432"/>
      <c r="B68" s="456"/>
      <c r="C68" s="457"/>
      <c r="D68" s="457"/>
      <c r="E68" s="457"/>
    </row>
    <row r="69" spans="1:5" s="425" customFormat="1" ht="16.5" customHeight="1" x14ac:dyDescent="0.3">
      <c r="A69" s="427" t="s">
        <v>1</v>
      </c>
      <c r="B69" s="428" t="s">
        <v>2</v>
      </c>
    </row>
    <row r="70" spans="1:5" s="425" customFormat="1" ht="16.5" customHeight="1" x14ac:dyDescent="0.3">
      <c r="A70" s="429" t="s">
        <v>3</v>
      </c>
      <c r="B70" s="429" t="str">
        <f>B6</f>
        <v>KILLMAL</v>
      </c>
      <c r="D70" s="430"/>
      <c r="E70" s="431"/>
    </row>
    <row r="71" spans="1:5" s="425" customFormat="1" ht="16.5" customHeight="1" x14ac:dyDescent="0.3">
      <c r="A71" s="432" t="s">
        <v>4</v>
      </c>
      <c r="B71" s="433" t="str">
        <f>LUMEFANTRINE!B26</f>
        <v>LUMEFANTRINE</v>
      </c>
      <c r="C71" s="431"/>
      <c r="D71" s="431"/>
      <c r="E71" s="431"/>
    </row>
    <row r="72" spans="1:5" s="425" customFormat="1" ht="16.5" customHeight="1" x14ac:dyDescent="0.3">
      <c r="A72" s="432" t="s">
        <v>6</v>
      </c>
      <c r="B72" s="434">
        <f>LUMEFANTRINE!B30</f>
        <v>100.2</v>
      </c>
      <c r="C72" s="431"/>
      <c r="D72" s="431"/>
      <c r="E72" s="431"/>
    </row>
    <row r="73" spans="1:5" s="425" customFormat="1" ht="16.5" customHeight="1" x14ac:dyDescent="0.3">
      <c r="A73" s="429" t="s">
        <v>8</v>
      </c>
      <c r="B73" s="433">
        <f>LUMEFANTRINE!D43</f>
        <v>16.170000000000002</v>
      </c>
      <c r="C73" s="431"/>
      <c r="D73" s="431"/>
      <c r="E73" s="431"/>
    </row>
    <row r="74" spans="1:5" s="425" customFormat="1" ht="16.5" customHeight="1" x14ac:dyDescent="0.3">
      <c r="A74" s="429" t="s">
        <v>10</v>
      </c>
      <c r="B74" s="435">
        <f>B73/'ARTEMETHER diss 2'!B99</f>
        <v>1.617E-2</v>
      </c>
      <c r="C74" s="431"/>
      <c r="D74" s="431"/>
      <c r="E74" s="431"/>
    </row>
    <row r="75" spans="1:5" s="425" customFormat="1" ht="16.5" customHeight="1" x14ac:dyDescent="0.25">
      <c r="A75" s="431"/>
      <c r="B75" s="431"/>
      <c r="C75" s="431"/>
      <c r="D75" s="431"/>
      <c r="E75" s="431"/>
    </row>
    <row r="76" spans="1:5" s="425" customFormat="1" ht="16.5" customHeight="1" x14ac:dyDescent="0.3">
      <c r="A76" s="436" t="s">
        <v>12</v>
      </c>
      <c r="B76" s="437" t="s">
        <v>13</v>
      </c>
      <c r="C76" s="436" t="s">
        <v>14</v>
      </c>
      <c r="D76" s="436" t="s">
        <v>15</v>
      </c>
      <c r="E76" s="436" t="s">
        <v>16</v>
      </c>
    </row>
    <row r="77" spans="1:5" s="425" customFormat="1" ht="16.5" customHeight="1" x14ac:dyDescent="0.25">
      <c r="A77" s="438">
        <v>1</v>
      </c>
      <c r="B77" s="439">
        <v>7476000</v>
      </c>
      <c r="C77" s="440">
        <v>3926.73</v>
      </c>
      <c r="D77" s="440">
        <v>0.97</v>
      </c>
      <c r="E77" s="441">
        <v>3.8</v>
      </c>
    </row>
    <row r="78" spans="1:5" s="425" customFormat="1" ht="16.5" customHeight="1" x14ac:dyDescent="0.25">
      <c r="A78" s="438">
        <v>2</v>
      </c>
      <c r="B78" s="439">
        <v>7495659</v>
      </c>
      <c r="C78" s="440">
        <v>3906.2</v>
      </c>
      <c r="D78" s="440">
        <v>0.97</v>
      </c>
      <c r="E78" s="440">
        <v>3.8</v>
      </c>
    </row>
    <row r="79" spans="1:5" s="425" customFormat="1" ht="16.5" customHeight="1" x14ac:dyDescent="0.25">
      <c r="A79" s="438">
        <v>3</v>
      </c>
      <c r="B79" s="439">
        <v>7500415</v>
      </c>
      <c r="C79" s="440">
        <v>3890.42</v>
      </c>
      <c r="D79" s="440">
        <v>0.96</v>
      </c>
      <c r="E79" s="440">
        <v>3.8</v>
      </c>
    </row>
    <row r="80" spans="1:5" s="425" customFormat="1" ht="16.5" customHeight="1" x14ac:dyDescent="0.25">
      <c r="A80" s="438">
        <v>4</v>
      </c>
      <c r="B80" s="439">
        <v>7507896</v>
      </c>
      <c r="C80" s="440">
        <v>3900.71</v>
      </c>
      <c r="D80" s="440">
        <v>0.96</v>
      </c>
      <c r="E80" s="440">
        <v>3.8</v>
      </c>
    </row>
    <row r="81" spans="1:5" s="425" customFormat="1" ht="16.5" customHeight="1" x14ac:dyDescent="0.25">
      <c r="A81" s="438">
        <v>5</v>
      </c>
      <c r="B81" s="439">
        <v>7515115</v>
      </c>
      <c r="C81" s="440">
        <v>3894.7</v>
      </c>
      <c r="D81" s="440">
        <v>0.96</v>
      </c>
      <c r="E81" s="440">
        <v>3.8</v>
      </c>
    </row>
    <row r="82" spans="1:5" s="425" customFormat="1" ht="16.5" customHeight="1" x14ac:dyDescent="0.25">
      <c r="A82" s="438">
        <v>6</v>
      </c>
      <c r="B82" s="442">
        <v>7507986</v>
      </c>
      <c r="C82" s="443">
        <v>3895.21</v>
      </c>
      <c r="D82" s="443">
        <v>0.98</v>
      </c>
      <c r="E82" s="443">
        <v>3.8</v>
      </c>
    </row>
    <row r="83" spans="1:5" s="425" customFormat="1" ht="16.5" customHeight="1" x14ac:dyDescent="0.3">
      <c r="A83" s="444" t="s">
        <v>17</v>
      </c>
      <c r="B83" s="445">
        <f>AVERAGE(B77:B82)</f>
        <v>7500511.833333333</v>
      </c>
      <c r="C83" s="446">
        <f>AVERAGE(C77:C82)</f>
        <v>3902.3283333333334</v>
      </c>
      <c r="D83" s="446">
        <f>AVERAGE(D77:D82)</f>
        <v>0.96666666666666679</v>
      </c>
      <c r="E83" s="446">
        <f>AVERAGE(E77:E82)</f>
        <v>3.8000000000000003</v>
      </c>
    </row>
    <row r="84" spans="1:5" s="425" customFormat="1" ht="16.5" customHeight="1" x14ac:dyDescent="0.3">
      <c r="A84" s="447" t="s">
        <v>18</v>
      </c>
      <c r="B84" s="448">
        <f>(STDEV(B77:B82)/B83)</f>
        <v>1.8358421819301941E-3</v>
      </c>
      <c r="C84" s="449"/>
      <c r="D84" s="449"/>
      <c r="E84" s="450"/>
    </row>
    <row r="85" spans="1:5" s="425" customFormat="1" ht="16.5" customHeight="1" x14ac:dyDescent="0.3">
      <c r="A85" s="451" t="s">
        <v>19</v>
      </c>
      <c r="B85" s="452">
        <f>COUNT(B77:B82)</f>
        <v>6</v>
      </c>
      <c r="C85" s="453"/>
      <c r="D85" s="454"/>
      <c r="E85" s="455"/>
    </row>
    <row r="86" spans="1:5" s="425" customFormat="1" ht="16.5" customHeight="1" x14ac:dyDescent="0.25">
      <c r="A86" s="431"/>
      <c r="B86" s="431"/>
      <c r="C86" s="431"/>
      <c r="D86" s="431"/>
      <c r="E86" s="431"/>
    </row>
    <row r="87" spans="1:5" s="425" customFormat="1" ht="16.5" customHeight="1" x14ac:dyDescent="0.3">
      <c r="A87" s="432" t="s">
        <v>20</v>
      </c>
      <c r="B87" s="456" t="s">
        <v>21</v>
      </c>
      <c r="C87" s="457"/>
      <c r="D87" s="457"/>
      <c r="E87" s="457"/>
    </row>
    <row r="88" spans="1:5" s="425" customFormat="1" ht="16.5" customHeight="1" x14ac:dyDescent="0.3">
      <c r="A88" s="432"/>
      <c r="B88" s="456" t="s">
        <v>22</v>
      </c>
      <c r="C88" s="457"/>
      <c r="D88" s="457"/>
      <c r="E88" s="457"/>
    </row>
    <row r="89" spans="1:5" s="425" customFormat="1" ht="16.5" customHeight="1" thickBot="1" x14ac:dyDescent="0.35">
      <c r="A89" s="432"/>
      <c r="B89" s="456" t="s">
        <v>23</v>
      </c>
      <c r="C89" s="457"/>
      <c r="D89" s="457"/>
      <c r="E89" s="457"/>
    </row>
    <row r="90" spans="1:5" s="425" customFormat="1" ht="15" customHeight="1" x14ac:dyDescent="0.3">
      <c r="B90" s="465" t="s">
        <v>25</v>
      </c>
      <c r="C90" s="466" t="s">
        <v>26</v>
      </c>
      <c r="E90" s="466" t="s">
        <v>27</v>
      </c>
    </row>
    <row r="91" spans="1:5" s="425" customFormat="1" ht="15" customHeight="1" x14ac:dyDescent="0.3">
      <c r="A91" s="467" t="s">
        <v>28</v>
      </c>
      <c r="B91" s="468" t="s">
        <v>139</v>
      </c>
      <c r="C91" s="469"/>
      <c r="E91" s="468"/>
    </row>
    <row r="92" spans="1:5" s="425" customFormat="1" ht="15" customHeight="1" x14ac:dyDescent="0.3">
      <c r="A92" s="467" t="s">
        <v>29</v>
      </c>
      <c r="B92" s="470" t="s">
        <v>143</v>
      </c>
      <c r="C92" s="471">
        <v>42360</v>
      </c>
      <c r="E92" s="472"/>
    </row>
  </sheetData>
  <sheetProtection formatCells="0" formatColumns="0" formatRows="0" insertColumns="0" insertRows="0" insertHyperlinks="0" deleteColumns="0" deleteRows="0" sort="0" autoFilter="0" pivotTables="0"/>
  <mergeCells count="1">
    <mergeCell ref="A4:E4"/>
  </mergeCells>
  <pageMargins left="0.7" right="0.7" top="0.75" bottom="0.75" header="0.3" footer="0.3"/>
  <pageSetup paperSize="9" scale="48" orientation="portrait" r:id="rId1"/>
  <rowBreaks count="1" manualBreakCount="1">
    <brk id="92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30</v>
      </c>
      <c r="B11" s="479"/>
      <c r="C11" s="479"/>
      <c r="D11" s="479"/>
      <c r="E11" s="479"/>
      <c r="F11" s="480"/>
      <c r="G11" s="45"/>
    </row>
    <row r="12" spans="1:7" ht="16.5" customHeight="1" x14ac:dyDescent="0.3">
      <c r="A12" s="477" t="s">
        <v>31</v>
      </c>
      <c r="B12" s="477"/>
      <c r="C12" s="477"/>
      <c r="D12" s="477"/>
      <c r="E12" s="477"/>
      <c r="F12" s="477"/>
      <c r="G12" s="44"/>
    </row>
    <row r="14" spans="1:7" ht="16.5" customHeight="1" x14ac:dyDescent="0.3">
      <c r="A14" s="482" t="s">
        <v>32</v>
      </c>
      <c r="B14" s="482"/>
      <c r="C14" s="14" t="s">
        <v>5</v>
      </c>
    </row>
    <row r="15" spans="1:7" ht="16.5" customHeight="1" x14ac:dyDescent="0.3">
      <c r="A15" s="482" t="s">
        <v>33</v>
      </c>
      <c r="B15" s="482"/>
      <c r="C15" s="14" t="s">
        <v>7</v>
      </c>
    </row>
    <row r="16" spans="1:7" ht="16.5" customHeight="1" x14ac:dyDescent="0.3">
      <c r="A16" s="482" t="s">
        <v>34</v>
      </c>
      <c r="B16" s="482"/>
      <c r="C16" s="14" t="s">
        <v>9</v>
      </c>
    </row>
    <row r="17" spans="1:5" ht="16.5" customHeight="1" x14ac:dyDescent="0.3">
      <c r="A17" s="482" t="s">
        <v>35</v>
      </c>
      <c r="B17" s="482"/>
      <c r="C17" s="14" t="s">
        <v>11</v>
      </c>
    </row>
    <row r="18" spans="1:5" ht="16.5" customHeight="1" x14ac:dyDescent="0.3">
      <c r="A18" s="482" t="s">
        <v>36</v>
      </c>
      <c r="B18" s="482"/>
      <c r="C18" s="51" t="str">
        <f>'ARTEMETHER 1'!B22</f>
        <v>29th DEC 2015</v>
      </c>
    </row>
    <row r="19" spans="1:5" ht="16.5" customHeight="1" x14ac:dyDescent="0.3">
      <c r="A19" s="482" t="s">
        <v>37</v>
      </c>
      <c r="B19" s="482"/>
      <c r="C19" s="51" t="str">
        <f>'ARTEMETHER 1'!B23</f>
        <v>4TH Dec 2015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477" t="s">
        <v>1</v>
      </c>
      <c r="B21" s="477"/>
      <c r="C21" s="13" t="s">
        <v>38</v>
      </c>
      <c r="D21" s="20"/>
    </row>
    <row r="22" spans="1:5" ht="15.75" customHeight="1" x14ac:dyDescent="0.3">
      <c r="A22" s="481"/>
      <c r="B22" s="481"/>
      <c r="C22" s="11"/>
      <c r="D22" s="481"/>
      <c r="E22" s="481"/>
    </row>
    <row r="23" spans="1:5" ht="33.75" customHeight="1" x14ac:dyDescent="0.3">
      <c r="C23" s="40" t="s">
        <v>39</v>
      </c>
      <c r="D23" s="39" t="s">
        <v>40</v>
      </c>
      <c r="E23" s="6"/>
    </row>
    <row r="24" spans="1:5" ht="15.75" customHeight="1" x14ac:dyDescent="0.3">
      <c r="C24" s="49">
        <v>817.79</v>
      </c>
      <c r="D24" s="41">
        <f t="shared" ref="D24:D43" si="0">(C24-$C$46)/$C$46</f>
        <v>-2.4134862464224886E-3</v>
      </c>
      <c r="E24" s="7"/>
    </row>
    <row r="25" spans="1:5" ht="15.75" customHeight="1" x14ac:dyDescent="0.3">
      <c r="C25" s="49">
        <v>804.67</v>
      </c>
      <c r="D25" s="42">
        <f t="shared" si="0"/>
        <v>-1.8418004595200221E-2</v>
      </c>
      <c r="E25" s="7"/>
    </row>
    <row r="26" spans="1:5" ht="15.75" customHeight="1" x14ac:dyDescent="0.3">
      <c r="C26" s="49">
        <v>815.42</v>
      </c>
      <c r="D26" s="42">
        <f t="shared" si="0"/>
        <v>-5.3045463444867632E-3</v>
      </c>
      <c r="E26" s="7"/>
    </row>
    <row r="27" spans="1:5" ht="15.75" customHeight="1" x14ac:dyDescent="0.3">
      <c r="C27" s="49">
        <v>826.01</v>
      </c>
      <c r="D27" s="42">
        <f t="shared" si="0"/>
        <v>7.6137348531928589E-3</v>
      </c>
      <c r="E27" s="7"/>
    </row>
    <row r="28" spans="1:5" ht="15.75" customHeight="1" x14ac:dyDescent="0.3">
      <c r="C28" s="49">
        <v>813.93</v>
      </c>
      <c r="D28" s="42">
        <f t="shared" si="0"/>
        <v>-7.1221326508647325E-3</v>
      </c>
      <c r="E28" s="7"/>
    </row>
    <row r="29" spans="1:5" ht="15.75" customHeight="1" x14ac:dyDescent="0.3">
      <c r="C29" s="49">
        <v>823.13</v>
      </c>
      <c r="D29" s="42">
        <f t="shared" si="0"/>
        <v>4.1005478985831189E-3</v>
      </c>
      <c r="E29" s="7"/>
    </row>
    <row r="30" spans="1:5" ht="15.75" customHeight="1" x14ac:dyDescent="0.3">
      <c r="C30" s="49">
        <v>848.39</v>
      </c>
      <c r="D30" s="42">
        <f t="shared" si="0"/>
        <v>3.4914125146306083E-2</v>
      </c>
      <c r="E30" s="7"/>
    </row>
    <row r="31" spans="1:5" ht="15.75" customHeight="1" x14ac:dyDescent="0.3">
      <c r="C31" s="49">
        <v>836.63</v>
      </c>
      <c r="D31" s="42">
        <f t="shared" si="0"/>
        <v>2.0568611748316298E-2</v>
      </c>
      <c r="E31" s="7"/>
    </row>
    <row r="32" spans="1:5" ht="15.75" customHeight="1" x14ac:dyDescent="0.3">
      <c r="C32" s="49">
        <v>811.76</v>
      </c>
      <c r="D32" s="42">
        <f t="shared" si="0"/>
        <v>-9.7692214326366086E-3</v>
      </c>
      <c r="E32" s="7"/>
    </row>
    <row r="33" spans="1:7" ht="15.75" customHeight="1" x14ac:dyDescent="0.3">
      <c r="C33" s="49">
        <v>855.86</v>
      </c>
      <c r="D33" s="42">
        <f t="shared" si="0"/>
        <v>4.4026453809825138E-2</v>
      </c>
      <c r="E33" s="7"/>
    </row>
    <row r="34" spans="1:7" ht="15.75" customHeight="1" x14ac:dyDescent="0.3">
      <c r="C34" s="49">
        <v>818.2</v>
      </c>
      <c r="D34" s="42">
        <f t="shared" si="0"/>
        <v>-1.9133450480230847E-3</v>
      </c>
      <c r="E34" s="7"/>
    </row>
    <row r="35" spans="1:7" ht="15.75" customHeight="1" x14ac:dyDescent="0.3">
      <c r="C35" s="49">
        <v>814.09</v>
      </c>
      <c r="D35" s="42">
        <f t="shared" si="0"/>
        <v>-6.9269555978307583E-3</v>
      </c>
      <c r="E35" s="7"/>
    </row>
    <row r="36" spans="1:7" ht="15.75" customHeight="1" x14ac:dyDescent="0.3">
      <c r="C36" s="49">
        <v>796.35</v>
      </c>
      <c r="D36" s="42">
        <f t="shared" si="0"/>
        <v>-2.8567211352961631E-2</v>
      </c>
      <c r="E36" s="7"/>
    </row>
    <row r="37" spans="1:7" ht="15.75" customHeight="1" x14ac:dyDescent="0.3">
      <c r="C37" s="49">
        <v>815.21</v>
      </c>
      <c r="D37" s="42">
        <f t="shared" si="0"/>
        <v>-5.5607162265936295E-3</v>
      </c>
      <c r="E37" s="7"/>
    </row>
    <row r="38" spans="1:7" ht="15.75" customHeight="1" x14ac:dyDescent="0.3">
      <c r="C38" s="49">
        <v>827.53</v>
      </c>
      <c r="D38" s="42">
        <f t="shared" si="0"/>
        <v>9.4679168570146466E-3</v>
      </c>
      <c r="E38" s="7"/>
    </row>
    <row r="39" spans="1:7" ht="15.75" customHeight="1" x14ac:dyDescent="0.3">
      <c r="C39" s="49">
        <v>822.96</v>
      </c>
      <c r="D39" s="42">
        <f t="shared" si="0"/>
        <v>3.8931722797346771E-3</v>
      </c>
      <c r="E39" s="7"/>
    </row>
    <row r="40" spans="1:7" ht="15.75" customHeight="1" x14ac:dyDescent="0.3">
      <c r="C40" s="49">
        <v>815.2</v>
      </c>
      <c r="D40" s="42">
        <f t="shared" si="0"/>
        <v>-5.5729147924082362E-3</v>
      </c>
      <c r="E40" s="7"/>
    </row>
    <row r="41" spans="1:7" ht="15.75" customHeight="1" x14ac:dyDescent="0.3">
      <c r="C41" s="49">
        <v>813.39</v>
      </c>
      <c r="D41" s="42">
        <f t="shared" si="0"/>
        <v>-7.7808552048540154E-3</v>
      </c>
      <c r="E41" s="7"/>
    </row>
    <row r="42" spans="1:7" ht="15.75" customHeight="1" x14ac:dyDescent="0.3">
      <c r="C42" s="49">
        <v>810.62</v>
      </c>
      <c r="D42" s="42">
        <f t="shared" si="0"/>
        <v>-1.115985793550295E-2</v>
      </c>
      <c r="E42" s="7"/>
    </row>
    <row r="43" spans="1:7" ht="16.5" customHeight="1" x14ac:dyDescent="0.3">
      <c r="C43" s="50">
        <v>808.23</v>
      </c>
      <c r="D43" s="43">
        <f t="shared" si="0"/>
        <v>-1.4075315165196436E-2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41</v>
      </c>
      <c r="C45" s="37">
        <f>SUM(C24:C44)</f>
        <v>16395.370000000006</v>
      </c>
      <c r="D45" s="32"/>
      <c r="E45" s="8"/>
    </row>
    <row r="46" spans="1:7" ht="17.25" customHeight="1" x14ac:dyDescent="0.3">
      <c r="B46" s="36" t="s">
        <v>42</v>
      </c>
      <c r="C46" s="38">
        <f>AVERAGE(C24:C44)</f>
        <v>819.76850000000036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42</v>
      </c>
      <c r="C48" s="39" t="s">
        <v>43</v>
      </c>
      <c r="D48" s="34"/>
      <c r="G48" s="12"/>
    </row>
    <row r="49" spans="1:6" ht="17.25" customHeight="1" x14ac:dyDescent="0.3">
      <c r="B49" s="475">
        <f>C46</f>
        <v>819.76850000000036</v>
      </c>
      <c r="C49" s="47">
        <f>-IF(C46&lt;=80,10%,IF(C46&lt;250,7.5%,5%))</f>
        <v>-0.05</v>
      </c>
      <c r="D49" s="35">
        <f>IF(C46&lt;=80,C46*0.9,IF(C46&lt;250,C46*0.925,C46*0.95))</f>
        <v>778.78007500000035</v>
      </c>
    </row>
    <row r="50" spans="1:6" ht="17.25" customHeight="1" x14ac:dyDescent="0.3">
      <c r="B50" s="476"/>
      <c r="C50" s="48">
        <f>IF(C46&lt;=80, 10%, IF(C46&lt;250, 7.5%, 5%))</f>
        <v>0.05</v>
      </c>
      <c r="D50" s="35">
        <f>IF(C46&lt;=80, C46*1.1, IF(C46&lt;250, C46*1.075, C46*1.05))</f>
        <v>860.75692500000036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25</v>
      </c>
      <c r="C52" s="21"/>
      <c r="D52" s="22" t="s">
        <v>26</v>
      </c>
      <c r="E52" s="23"/>
      <c r="F52" s="22" t="s">
        <v>27</v>
      </c>
    </row>
    <row r="53" spans="1:6" ht="34.5" customHeight="1" x14ac:dyDescent="0.3">
      <c r="A53" s="24" t="s">
        <v>28</v>
      </c>
      <c r="B53" s="25"/>
      <c r="C53" s="26"/>
      <c r="D53" s="25"/>
      <c r="E53" s="15"/>
      <c r="F53" s="27"/>
    </row>
    <row r="54" spans="1:6" ht="34.5" customHeight="1" x14ac:dyDescent="0.3">
      <c r="A54" s="24" t="s">
        <v>29</v>
      </c>
      <c r="B54" s="28"/>
      <c r="C54" s="29"/>
      <c r="D54" s="28"/>
      <c r="E54" s="15"/>
      <c r="F5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3" zoomScale="60" zoomScaleNormal="75" zoomScalePageLayoutView="55" workbookViewId="0">
      <selection activeCell="B20" sqref="B20:C20"/>
    </sheetView>
  </sheetViews>
  <sheetFormatPr defaultRowHeight="13.5" x14ac:dyDescent="0.25"/>
  <cols>
    <col min="1" max="1" width="55.42578125" style="326" customWidth="1"/>
    <col min="2" max="2" width="33.7109375" style="326" customWidth="1"/>
    <col min="3" max="3" width="42.28515625" style="326" customWidth="1"/>
    <col min="4" max="4" width="30.5703125" style="326" customWidth="1"/>
    <col min="5" max="5" width="39.85546875" style="326" customWidth="1"/>
    <col min="6" max="6" width="30.7109375" style="326" customWidth="1"/>
    <col min="7" max="7" width="39.85546875" style="326" customWidth="1"/>
    <col min="8" max="8" width="41.140625" style="326" customWidth="1"/>
    <col min="9" max="9" width="30.42578125" style="326" customWidth="1"/>
    <col min="10" max="10" width="21.28515625" style="326" customWidth="1"/>
    <col min="11" max="11" width="9.140625" style="326" customWidth="1"/>
    <col min="12" max="16384" width="9.140625" style="5"/>
  </cols>
  <sheetData>
    <row r="1" spans="1:8" x14ac:dyDescent="0.25">
      <c r="A1" s="514" t="s">
        <v>44</v>
      </c>
      <c r="B1" s="514"/>
      <c r="C1" s="514"/>
      <c r="D1" s="514"/>
      <c r="E1" s="514"/>
      <c r="F1" s="514"/>
      <c r="G1" s="514"/>
      <c r="H1" s="514"/>
    </row>
    <row r="2" spans="1:8" x14ac:dyDescent="0.25">
      <c r="A2" s="514"/>
      <c r="B2" s="514"/>
      <c r="C2" s="514"/>
      <c r="D2" s="514"/>
      <c r="E2" s="514"/>
      <c r="F2" s="514"/>
      <c r="G2" s="514"/>
      <c r="H2" s="514"/>
    </row>
    <row r="3" spans="1:8" x14ac:dyDescent="0.25">
      <c r="A3" s="514"/>
      <c r="B3" s="514"/>
      <c r="C3" s="514"/>
      <c r="D3" s="514"/>
      <c r="E3" s="514"/>
      <c r="F3" s="514"/>
      <c r="G3" s="514"/>
      <c r="H3" s="514"/>
    </row>
    <row r="4" spans="1:8" x14ac:dyDescent="0.25">
      <c r="A4" s="514"/>
      <c r="B4" s="514"/>
      <c r="C4" s="514"/>
      <c r="D4" s="514"/>
      <c r="E4" s="514"/>
      <c r="F4" s="514"/>
      <c r="G4" s="514"/>
      <c r="H4" s="514"/>
    </row>
    <row r="5" spans="1:8" x14ac:dyDescent="0.25">
      <c r="A5" s="514"/>
      <c r="B5" s="514"/>
      <c r="C5" s="514"/>
      <c r="D5" s="514"/>
      <c r="E5" s="514"/>
      <c r="F5" s="514"/>
      <c r="G5" s="514"/>
      <c r="H5" s="514"/>
    </row>
    <row r="6" spans="1:8" x14ac:dyDescent="0.25">
      <c r="A6" s="514"/>
      <c r="B6" s="514"/>
      <c r="C6" s="514"/>
      <c r="D6" s="514"/>
      <c r="E6" s="514"/>
      <c r="F6" s="514"/>
      <c r="G6" s="514"/>
      <c r="H6" s="514"/>
    </row>
    <row r="7" spans="1:8" x14ac:dyDescent="0.25">
      <c r="A7" s="514"/>
      <c r="B7" s="514"/>
      <c r="C7" s="514"/>
      <c r="D7" s="514"/>
      <c r="E7" s="514"/>
      <c r="F7" s="514"/>
      <c r="G7" s="514"/>
      <c r="H7" s="514"/>
    </row>
    <row r="8" spans="1:8" x14ac:dyDescent="0.25">
      <c r="A8" s="515" t="s">
        <v>45</v>
      </c>
      <c r="B8" s="515"/>
      <c r="C8" s="515"/>
      <c r="D8" s="515"/>
      <c r="E8" s="515"/>
      <c r="F8" s="515"/>
      <c r="G8" s="515"/>
      <c r="H8" s="515"/>
    </row>
    <row r="9" spans="1:8" x14ac:dyDescent="0.25">
      <c r="A9" s="515"/>
      <c r="B9" s="515"/>
      <c r="C9" s="515"/>
      <c r="D9" s="515"/>
      <c r="E9" s="515"/>
      <c r="F9" s="515"/>
      <c r="G9" s="515"/>
      <c r="H9" s="515"/>
    </row>
    <row r="10" spans="1:8" x14ac:dyDescent="0.25">
      <c r="A10" s="515"/>
      <c r="B10" s="515"/>
      <c r="C10" s="515"/>
      <c r="D10" s="515"/>
      <c r="E10" s="515"/>
      <c r="F10" s="515"/>
      <c r="G10" s="515"/>
      <c r="H10" s="515"/>
    </row>
    <row r="11" spans="1:8" x14ac:dyDescent="0.25">
      <c r="A11" s="515"/>
      <c r="B11" s="515"/>
      <c r="C11" s="515"/>
      <c r="D11" s="515"/>
      <c r="E11" s="515"/>
      <c r="F11" s="515"/>
      <c r="G11" s="515"/>
      <c r="H11" s="515"/>
    </row>
    <row r="12" spans="1:8" x14ac:dyDescent="0.25">
      <c r="A12" s="515"/>
      <c r="B12" s="515"/>
      <c r="C12" s="515"/>
      <c r="D12" s="515"/>
      <c r="E12" s="515"/>
      <c r="F12" s="515"/>
      <c r="G12" s="515"/>
      <c r="H12" s="515"/>
    </row>
    <row r="13" spans="1:8" x14ac:dyDescent="0.25">
      <c r="A13" s="515"/>
      <c r="B13" s="515"/>
      <c r="C13" s="515"/>
      <c r="D13" s="515"/>
      <c r="E13" s="515"/>
      <c r="F13" s="515"/>
      <c r="G13" s="515"/>
      <c r="H13" s="515"/>
    </row>
    <row r="14" spans="1:8" x14ac:dyDescent="0.25">
      <c r="A14" s="515"/>
      <c r="B14" s="515"/>
      <c r="C14" s="515"/>
      <c r="D14" s="515"/>
      <c r="E14" s="515"/>
      <c r="F14" s="515"/>
      <c r="G14" s="515"/>
      <c r="H14" s="515"/>
    </row>
    <row r="15" spans="1:8" ht="19.5" customHeight="1" thickBot="1" x14ac:dyDescent="0.3"/>
    <row r="16" spans="1:8" ht="19.5" customHeight="1" thickBot="1" x14ac:dyDescent="0.3">
      <c r="A16" s="516" t="s">
        <v>30</v>
      </c>
      <c r="B16" s="517"/>
      <c r="C16" s="517"/>
      <c r="D16" s="517"/>
      <c r="E16" s="517"/>
      <c r="F16" s="517"/>
      <c r="G16" s="517"/>
      <c r="H16" s="518"/>
    </row>
    <row r="17" spans="1:13" ht="18.75" x14ac:dyDescent="0.3">
      <c r="A17" s="213" t="s">
        <v>46</v>
      </c>
      <c r="B17" s="213"/>
    </row>
    <row r="18" spans="1:13" ht="26.25" x14ac:dyDescent="0.4">
      <c r="A18" s="215" t="s">
        <v>32</v>
      </c>
      <c r="B18" s="519" t="s">
        <v>5</v>
      </c>
      <c r="C18" s="519"/>
      <c r="D18" s="198"/>
      <c r="E18" s="55"/>
      <c r="F18" s="212"/>
      <c r="G18" s="212"/>
      <c r="H18" s="212"/>
    </row>
    <row r="19" spans="1:13" ht="26.25" x14ac:dyDescent="0.4">
      <c r="A19" s="215" t="s">
        <v>33</v>
      </c>
      <c r="B19" s="209" t="s">
        <v>7</v>
      </c>
      <c r="C19" s="212">
        <v>15</v>
      </c>
      <c r="D19" s="212"/>
      <c r="E19" s="212"/>
      <c r="F19" s="212"/>
      <c r="G19" s="212"/>
      <c r="H19" s="212"/>
    </row>
    <row r="20" spans="1:13" ht="26.25" x14ac:dyDescent="0.4">
      <c r="A20" s="215" t="s">
        <v>34</v>
      </c>
      <c r="B20" s="513" t="s">
        <v>9</v>
      </c>
      <c r="C20" s="513"/>
      <c r="D20" s="212"/>
      <c r="E20" s="212"/>
      <c r="F20" s="212"/>
      <c r="G20" s="212"/>
      <c r="H20" s="212"/>
    </row>
    <row r="21" spans="1:13" ht="26.25" x14ac:dyDescent="0.4">
      <c r="A21" s="215" t="s">
        <v>35</v>
      </c>
      <c r="B21" s="513" t="s">
        <v>11</v>
      </c>
      <c r="C21" s="513"/>
      <c r="D21" s="513"/>
      <c r="E21" s="513"/>
      <c r="F21" s="513"/>
      <c r="G21" s="513"/>
      <c r="H21" s="513"/>
    </row>
    <row r="22" spans="1:13" ht="18.75" x14ac:dyDescent="0.3">
      <c r="A22" s="215" t="s">
        <v>36</v>
      </c>
      <c r="B22" s="306" t="s">
        <v>140</v>
      </c>
    </row>
    <row r="23" spans="1:13" ht="18.75" x14ac:dyDescent="0.3">
      <c r="A23" s="215" t="s">
        <v>37</v>
      </c>
      <c r="B23" s="306" t="s">
        <v>141</v>
      </c>
    </row>
    <row r="24" spans="1:13" ht="18.75" x14ac:dyDescent="0.3">
      <c r="A24" s="215"/>
      <c r="B24" s="218"/>
    </row>
    <row r="25" spans="1:13" ht="18.75" x14ac:dyDescent="0.3">
      <c r="A25" s="219" t="s">
        <v>1</v>
      </c>
      <c r="B25" s="218"/>
    </row>
    <row r="26" spans="1:13" ht="26.25" customHeight="1" x14ac:dyDescent="0.4">
      <c r="A26" s="319" t="s">
        <v>4</v>
      </c>
      <c r="B26" s="505" t="s">
        <v>135</v>
      </c>
      <c r="C26" s="505"/>
    </row>
    <row r="27" spans="1:13" ht="26.25" customHeight="1" x14ac:dyDescent="0.4">
      <c r="A27" s="354" t="s">
        <v>47</v>
      </c>
      <c r="B27" s="358" t="s">
        <v>124</v>
      </c>
    </row>
    <row r="28" spans="1:13" ht="27" customHeight="1" thickBot="1" x14ac:dyDescent="0.45">
      <c r="A28" s="354" t="s">
        <v>6</v>
      </c>
      <c r="B28" s="358">
        <v>99.8</v>
      </c>
    </row>
    <row r="29" spans="1:13" s="29" customFormat="1" ht="27" customHeight="1" thickBot="1" x14ac:dyDescent="0.45">
      <c r="A29" s="354" t="s">
        <v>48</v>
      </c>
      <c r="B29" s="358">
        <v>0</v>
      </c>
      <c r="C29" s="506" t="s">
        <v>49</v>
      </c>
      <c r="D29" s="507"/>
      <c r="E29" s="507"/>
      <c r="F29" s="507"/>
      <c r="G29" s="508"/>
      <c r="I29" s="224"/>
      <c r="J29" s="224"/>
      <c r="K29" s="224"/>
    </row>
    <row r="30" spans="1:13" s="29" customFormat="1" ht="19.5" customHeight="1" thickBot="1" x14ac:dyDescent="0.35">
      <c r="A30" s="354" t="s">
        <v>50</v>
      </c>
      <c r="B30" s="387">
        <f>B28-B29</f>
        <v>99.8</v>
      </c>
      <c r="C30" s="225"/>
      <c r="D30" s="225"/>
      <c r="E30" s="225"/>
      <c r="F30" s="225"/>
      <c r="G30" s="226"/>
      <c r="I30" s="224"/>
      <c r="J30" s="224"/>
      <c r="K30" s="224"/>
    </row>
    <row r="31" spans="1:13" s="29" customFormat="1" ht="27" customHeight="1" thickBot="1" x14ac:dyDescent="0.45">
      <c r="A31" s="354" t="s">
        <v>51</v>
      </c>
      <c r="B31" s="359">
        <v>1</v>
      </c>
      <c r="C31" s="509" t="s">
        <v>52</v>
      </c>
      <c r="D31" s="510"/>
      <c r="E31" s="510"/>
      <c r="F31" s="510"/>
      <c r="G31" s="510"/>
      <c r="H31" s="511"/>
      <c r="I31" s="224"/>
      <c r="J31" s="224"/>
      <c r="K31" s="224"/>
    </row>
    <row r="32" spans="1:13" s="29" customFormat="1" ht="27" customHeight="1" thickBot="1" x14ac:dyDescent="0.45">
      <c r="A32" s="354" t="s">
        <v>53</v>
      </c>
      <c r="B32" s="359">
        <v>1</v>
      </c>
      <c r="C32" s="509" t="s">
        <v>54</v>
      </c>
      <c r="D32" s="510"/>
      <c r="E32" s="510"/>
      <c r="F32" s="510"/>
      <c r="G32" s="510"/>
      <c r="H32" s="511"/>
      <c r="I32" s="224"/>
      <c r="J32" s="224"/>
      <c r="K32" s="228"/>
      <c r="L32" s="228"/>
      <c r="M32" s="229"/>
    </row>
    <row r="33" spans="1:13" s="29" customFormat="1" ht="17.25" customHeight="1" x14ac:dyDescent="0.3">
      <c r="A33" s="354"/>
      <c r="B33" s="227"/>
      <c r="C33" s="230"/>
      <c r="D33" s="230"/>
      <c r="E33" s="230"/>
      <c r="F33" s="230"/>
      <c r="G33" s="230"/>
      <c r="H33" s="230"/>
      <c r="I33" s="224"/>
      <c r="J33" s="224"/>
      <c r="K33" s="228"/>
      <c r="L33" s="228"/>
      <c r="M33" s="229"/>
    </row>
    <row r="34" spans="1:13" s="29" customFormat="1" ht="18.75" x14ac:dyDescent="0.3">
      <c r="A34" s="354" t="s">
        <v>55</v>
      </c>
      <c r="B34" s="231">
        <f>B31/B32</f>
        <v>1</v>
      </c>
      <c r="C34" s="355" t="s">
        <v>56</v>
      </c>
      <c r="D34" s="355"/>
      <c r="E34" s="355"/>
      <c r="F34" s="355"/>
      <c r="G34" s="355"/>
      <c r="I34" s="224"/>
      <c r="J34" s="224"/>
      <c r="K34" s="228"/>
      <c r="L34" s="228"/>
      <c r="M34" s="229"/>
    </row>
    <row r="35" spans="1:13" s="29" customFormat="1" ht="19.5" customHeight="1" thickBot="1" x14ac:dyDescent="0.35">
      <c r="A35" s="354"/>
      <c r="B35" s="387"/>
      <c r="G35" s="355"/>
      <c r="I35" s="224"/>
      <c r="J35" s="224"/>
      <c r="K35" s="228"/>
      <c r="L35" s="228"/>
      <c r="M35" s="229"/>
    </row>
    <row r="36" spans="1:13" s="29" customFormat="1" ht="27" customHeight="1" thickBot="1" x14ac:dyDescent="0.45">
      <c r="A36" s="232" t="s">
        <v>125</v>
      </c>
      <c r="B36" s="360">
        <v>100</v>
      </c>
      <c r="C36" s="355"/>
      <c r="D36" s="492" t="s">
        <v>58</v>
      </c>
      <c r="E36" s="512"/>
      <c r="F36" s="492" t="s">
        <v>59</v>
      </c>
      <c r="G36" s="493"/>
      <c r="I36" s="224"/>
      <c r="J36" s="224"/>
      <c r="K36" s="228"/>
      <c r="L36" s="228"/>
      <c r="M36" s="229"/>
    </row>
    <row r="37" spans="1:13" s="29" customFormat="1" ht="26.25" customHeight="1" x14ac:dyDescent="0.4">
      <c r="A37" s="233" t="s">
        <v>60</v>
      </c>
      <c r="B37" s="361">
        <v>1</v>
      </c>
      <c r="C37" s="235" t="s">
        <v>126</v>
      </c>
      <c r="D37" s="236" t="s">
        <v>62</v>
      </c>
      <c r="E37" s="293" t="s">
        <v>63</v>
      </c>
      <c r="F37" s="236" t="s">
        <v>62</v>
      </c>
      <c r="G37" s="237" t="s">
        <v>63</v>
      </c>
      <c r="I37" s="224"/>
      <c r="J37" s="224"/>
      <c r="K37" s="228"/>
      <c r="L37" s="228"/>
      <c r="M37" s="229"/>
    </row>
    <row r="38" spans="1:13" s="29" customFormat="1" ht="26.25" customHeight="1" x14ac:dyDescent="0.4">
      <c r="A38" s="233" t="s">
        <v>65</v>
      </c>
      <c r="B38" s="361">
        <v>1</v>
      </c>
      <c r="C38" s="238">
        <v>1</v>
      </c>
      <c r="D38" s="385">
        <v>2445795</v>
      </c>
      <c r="E38" s="307">
        <f>IF(ISBLANK(D38),"-",$D$48/$D$45*D38)</f>
        <v>2246284.5030115223</v>
      </c>
      <c r="F38" s="362">
        <v>2363403</v>
      </c>
      <c r="G38" s="310">
        <f>IF(ISBLANK(F38),"-",$D$48/$F$45*F38)</f>
        <v>2247877.8154315273</v>
      </c>
      <c r="I38" s="224"/>
      <c r="J38" s="224"/>
      <c r="K38" s="228"/>
      <c r="L38" s="228"/>
      <c r="M38" s="229"/>
    </row>
    <row r="39" spans="1:13" s="29" customFormat="1" ht="26.25" customHeight="1" x14ac:dyDescent="0.4">
      <c r="A39" s="233" t="s">
        <v>66</v>
      </c>
      <c r="B39" s="361">
        <v>1</v>
      </c>
      <c r="C39" s="234">
        <v>2</v>
      </c>
      <c r="D39" s="385">
        <v>2453895</v>
      </c>
      <c r="E39" s="308">
        <f>IF(ISBLANK(D39),"-",$D$48/$D$45*D39)</f>
        <v>2253723.7628327231</v>
      </c>
      <c r="F39" s="362">
        <v>2367855</v>
      </c>
      <c r="G39" s="311">
        <f>IF(ISBLANK(F39),"-",$D$48/$F$45*F39)</f>
        <v>2252112.1978175617</v>
      </c>
      <c r="I39" s="224"/>
      <c r="J39" s="224"/>
      <c r="K39" s="228"/>
      <c r="L39" s="228"/>
      <c r="M39" s="229"/>
    </row>
    <row r="40" spans="1:13" ht="26.25" customHeight="1" x14ac:dyDescent="0.4">
      <c r="A40" s="233" t="s">
        <v>67</v>
      </c>
      <c r="B40" s="361">
        <v>1</v>
      </c>
      <c r="C40" s="234">
        <v>3</v>
      </c>
      <c r="D40" s="385">
        <v>2446125</v>
      </c>
      <c r="E40" s="308">
        <f>IF(ISBLANK(D40),"-",$D$48/$D$45*D40)</f>
        <v>2246587.5839672009</v>
      </c>
      <c r="F40" s="362">
        <v>2364427</v>
      </c>
      <c r="G40" s="311">
        <f>IF(ISBLANK(F40),"-",$D$48/$F$45*F40)</f>
        <v>2248851.7614250807</v>
      </c>
      <c r="K40" s="228"/>
      <c r="L40" s="228"/>
      <c r="M40" s="355"/>
    </row>
    <row r="41" spans="1:13" ht="26.25" customHeight="1" x14ac:dyDescent="0.4">
      <c r="A41" s="233" t="s">
        <v>68</v>
      </c>
      <c r="B41" s="361">
        <v>1</v>
      </c>
      <c r="C41" s="241">
        <v>4</v>
      </c>
      <c r="D41" s="364">
        <v>2434205</v>
      </c>
      <c r="E41" s="309">
        <f>IF(ISBLANK(D41),"-",$D$48/$D$45*D41)</f>
        <v>2235639.9324772367</v>
      </c>
      <c r="F41" s="364">
        <v>2353511</v>
      </c>
      <c r="G41" s="312">
        <f>IF(ISBLANK(F41),"-",$D$48/$F$45*F41)</f>
        <v>2238469.3449547407</v>
      </c>
      <c r="K41" s="228"/>
      <c r="L41" s="228"/>
      <c r="M41" s="355"/>
    </row>
    <row r="42" spans="1:13" ht="27" customHeight="1" thickBot="1" x14ac:dyDescent="0.45">
      <c r="A42" s="233" t="s">
        <v>69</v>
      </c>
      <c r="B42" s="361">
        <v>1</v>
      </c>
      <c r="C42" s="243" t="s">
        <v>70</v>
      </c>
      <c r="D42" s="244">
        <f>AVERAGE(D38:D41)</f>
        <v>2445005</v>
      </c>
      <c r="E42" s="268">
        <f>AVERAGE(E38:E41)</f>
        <v>2245558.9455721704</v>
      </c>
      <c r="F42" s="244">
        <f>AVERAGE(F38:F41)</f>
        <v>2362299</v>
      </c>
      <c r="G42" s="245">
        <f>AVERAGE(G38:G41)</f>
        <v>2246827.7799072275</v>
      </c>
      <c r="H42" s="327"/>
    </row>
    <row r="43" spans="1:13" ht="26.25" customHeight="1" x14ac:dyDescent="0.4">
      <c r="A43" s="233" t="s">
        <v>71</v>
      </c>
      <c r="B43" s="358">
        <v>1</v>
      </c>
      <c r="C43" s="340" t="s">
        <v>112</v>
      </c>
      <c r="D43" s="365">
        <v>21.82</v>
      </c>
      <c r="E43" s="355"/>
      <c r="F43" s="365">
        <v>21.07</v>
      </c>
      <c r="H43" s="327"/>
    </row>
    <row r="44" spans="1:13" ht="26.25" customHeight="1" x14ac:dyDescent="0.4">
      <c r="A44" s="233" t="s">
        <v>73</v>
      </c>
      <c r="B44" s="358">
        <v>1</v>
      </c>
      <c r="C44" s="341" t="s">
        <v>113</v>
      </c>
      <c r="D44" s="342">
        <f>D43*$B$34</f>
        <v>21.82</v>
      </c>
      <c r="E44" s="265"/>
      <c r="F44" s="246">
        <f>F43*$B$34</f>
        <v>21.07</v>
      </c>
      <c r="H44" s="327"/>
    </row>
    <row r="45" spans="1:13" ht="19.5" customHeight="1" thickBot="1" x14ac:dyDescent="0.35">
      <c r="A45" s="233" t="s">
        <v>75</v>
      </c>
      <c r="B45" s="387">
        <f>(B44/B43)*(B42/B41)*(B40/B39)*(B38/B37)*B36</f>
        <v>100</v>
      </c>
      <c r="C45" s="341" t="s">
        <v>76</v>
      </c>
      <c r="D45" s="350">
        <f>D44*$B$30/100</f>
        <v>21.77636</v>
      </c>
      <c r="E45" s="266"/>
      <c r="F45" s="248">
        <f>F44*$B$30/100</f>
        <v>21.02786</v>
      </c>
      <c r="H45" s="327"/>
    </row>
    <row r="46" spans="1:13" ht="19.5" customHeight="1" thickBot="1" x14ac:dyDescent="0.35">
      <c r="A46" s="484" t="s">
        <v>77</v>
      </c>
      <c r="B46" s="485"/>
      <c r="C46" s="341" t="s">
        <v>78</v>
      </c>
      <c r="D46" s="342">
        <f>D45/$B$45</f>
        <v>0.2177636</v>
      </c>
      <c r="E46" s="266"/>
      <c r="F46" s="250">
        <f>F45/$B$45</f>
        <v>0.21027860000000001</v>
      </c>
      <c r="H46" s="327"/>
    </row>
    <row r="47" spans="1:13" ht="27" customHeight="1" thickBot="1" x14ac:dyDescent="0.45">
      <c r="A47" s="486"/>
      <c r="B47" s="487"/>
      <c r="C47" s="341" t="s">
        <v>127</v>
      </c>
      <c r="D47" s="366">
        <v>0.2</v>
      </c>
      <c r="F47" s="252"/>
      <c r="H47" s="327"/>
    </row>
    <row r="48" spans="1:13" ht="18.75" x14ac:dyDescent="0.3">
      <c r="C48" s="341" t="s">
        <v>80</v>
      </c>
      <c r="D48" s="342">
        <f>D47*$B$45</f>
        <v>20</v>
      </c>
      <c r="F48" s="252"/>
      <c r="H48" s="327"/>
    </row>
    <row r="49" spans="1:11" ht="19.5" customHeight="1" thickBot="1" x14ac:dyDescent="0.35">
      <c r="C49" s="344" t="s">
        <v>81</v>
      </c>
      <c r="D49" s="351">
        <f>D48/B34</f>
        <v>20</v>
      </c>
      <c r="F49" s="255"/>
      <c r="H49" s="327"/>
    </row>
    <row r="50" spans="1:11" ht="18.75" x14ac:dyDescent="0.3">
      <c r="C50" s="346" t="s">
        <v>82</v>
      </c>
      <c r="D50" s="347">
        <f>AVERAGE(E38:E41,G38:G41)</f>
        <v>2246193.362739699</v>
      </c>
      <c r="F50" s="255"/>
      <c r="H50" s="327"/>
    </row>
    <row r="51" spans="1:11" ht="18.75" x14ac:dyDescent="0.3">
      <c r="C51" s="251" t="s">
        <v>83</v>
      </c>
      <c r="D51" s="256">
        <f>STDEV(E38:E41,G38:G41)/D50</f>
        <v>2.7794591369649192E-3</v>
      </c>
      <c r="F51" s="255"/>
    </row>
    <row r="52" spans="1:11" ht="19.5" customHeight="1" thickBot="1" x14ac:dyDescent="0.35">
      <c r="C52" s="253" t="s">
        <v>19</v>
      </c>
      <c r="D52" s="257">
        <f>COUNT(E38:E41,G38:G41)</f>
        <v>8</v>
      </c>
      <c r="F52" s="255"/>
    </row>
    <row r="54" spans="1:11" ht="18.75" x14ac:dyDescent="0.3">
      <c r="A54" s="213" t="s">
        <v>1</v>
      </c>
      <c r="B54" s="258" t="s">
        <v>84</v>
      </c>
    </row>
    <row r="55" spans="1:11" ht="18.75" x14ac:dyDescent="0.3">
      <c r="A55" s="355" t="s">
        <v>85</v>
      </c>
      <c r="B55" s="217" t="str">
        <f>B21</f>
        <v>Each film coated tablet contains:
Artemether 80 mg
Lumefantrine 480 mg</v>
      </c>
    </row>
    <row r="56" spans="1:11" ht="26.25" customHeight="1" x14ac:dyDescent="0.4">
      <c r="A56" s="217" t="s">
        <v>86</v>
      </c>
      <c r="B56" s="358">
        <v>80</v>
      </c>
      <c r="C56" s="419" t="str">
        <f>B26</f>
        <v>ARTEMETHER</v>
      </c>
      <c r="H56" s="265"/>
    </row>
    <row r="57" spans="1:11" ht="18.75" x14ac:dyDescent="0.3">
      <c r="A57" s="217" t="s">
        <v>87</v>
      </c>
      <c r="B57" s="384">
        <f>Uniformity!C46</f>
        <v>819.76850000000036</v>
      </c>
      <c r="H57" s="265"/>
    </row>
    <row r="58" spans="1:11" ht="19.5" customHeight="1" thickBot="1" x14ac:dyDescent="0.35">
      <c r="H58" s="265"/>
    </row>
    <row r="59" spans="1:11" s="29" customFormat="1" ht="27" customHeight="1" thickBot="1" x14ac:dyDescent="0.45">
      <c r="A59" s="232" t="s">
        <v>128</v>
      </c>
      <c r="B59" s="360">
        <v>100</v>
      </c>
      <c r="C59" s="355"/>
      <c r="D59" s="260" t="s">
        <v>89</v>
      </c>
      <c r="E59" s="259" t="s">
        <v>61</v>
      </c>
      <c r="F59" s="259" t="s">
        <v>62</v>
      </c>
      <c r="G59" s="259" t="s">
        <v>90</v>
      </c>
      <c r="H59" s="235" t="s">
        <v>91</v>
      </c>
      <c r="K59" s="224"/>
    </row>
    <row r="60" spans="1:11" s="29" customFormat="1" ht="22.5" customHeight="1" x14ac:dyDescent="0.4">
      <c r="A60" s="233" t="s">
        <v>121</v>
      </c>
      <c r="B60" s="361">
        <v>1</v>
      </c>
      <c r="C60" s="494" t="s">
        <v>93</v>
      </c>
      <c r="D60" s="497">
        <v>206.02</v>
      </c>
      <c r="E60" s="261">
        <v>1</v>
      </c>
      <c r="F60" s="368">
        <v>2315753</v>
      </c>
      <c r="G60" s="297">
        <f>IF(ISBLANK(F60),"-",(F60/$D$50*$D$47*$B$68)*($B$57/$D$60))</f>
        <v>82.045909733687452</v>
      </c>
      <c r="H60" s="299">
        <f t="shared" ref="H60:H71" si="0">IF(ISBLANK(F60),"-",G60/$B$56)</f>
        <v>1.0255738716710932</v>
      </c>
      <c r="K60" s="224"/>
    </row>
    <row r="61" spans="1:11" s="29" customFormat="1" ht="26.25" customHeight="1" x14ac:dyDescent="0.4">
      <c r="A61" s="233" t="s">
        <v>94</v>
      </c>
      <c r="B61" s="361">
        <v>1</v>
      </c>
      <c r="C61" s="495"/>
      <c r="D61" s="498"/>
      <c r="E61" s="262">
        <v>2</v>
      </c>
      <c r="F61" s="363">
        <v>2337528</v>
      </c>
      <c r="G61" s="298">
        <f>IF(ISBLANK(F61),"-",(F61/$D$50*$D$47*$B$68)*($B$57/$D$60))</f>
        <v>82.817386520914354</v>
      </c>
      <c r="H61" s="300">
        <f t="shared" si="0"/>
        <v>1.0352173315114295</v>
      </c>
      <c r="K61" s="224"/>
    </row>
    <row r="62" spans="1:11" s="29" customFormat="1" ht="26.25" customHeight="1" x14ac:dyDescent="0.4">
      <c r="A62" s="233" t="s">
        <v>95</v>
      </c>
      <c r="B62" s="361">
        <v>1</v>
      </c>
      <c r="C62" s="495"/>
      <c r="D62" s="498"/>
      <c r="E62" s="262">
        <v>3</v>
      </c>
      <c r="F62" s="125">
        <v>2312598</v>
      </c>
      <c r="G62" s="298">
        <f>IF(ISBLANK(F62),"-",(F62/$D$50*$D$47*$B$68)*($B$57/$D$60))</f>
        <v>81.934129744539334</v>
      </c>
      <c r="H62" s="300">
        <f t="shared" si="0"/>
        <v>1.0241766218067416</v>
      </c>
      <c r="K62" s="224"/>
    </row>
    <row r="63" spans="1:11" ht="21" customHeight="1" thickBot="1" x14ac:dyDescent="0.45">
      <c r="A63" s="233" t="s">
        <v>96</v>
      </c>
      <c r="B63" s="361">
        <v>1</v>
      </c>
      <c r="C63" s="496"/>
      <c r="D63" s="499"/>
      <c r="E63" s="263">
        <v>4</v>
      </c>
      <c r="F63" s="369"/>
      <c r="G63" s="298" t="str">
        <f>IF(ISBLANK(F63),"-",(F63/$D$50*$D$47*$B$68)*($B$57/$D$60))</f>
        <v>-</v>
      </c>
      <c r="H63" s="300" t="str">
        <f t="shared" si="0"/>
        <v>-</v>
      </c>
    </row>
    <row r="64" spans="1:11" ht="26.25" customHeight="1" x14ac:dyDescent="0.4">
      <c r="A64" s="233" t="s">
        <v>97</v>
      </c>
      <c r="B64" s="361">
        <v>1</v>
      </c>
      <c r="C64" s="494" t="s">
        <v>98</v>
      </c>
      <c r="D64" s="497">
        <v>192.06</v>
      </c>
      <c r="E64" s="261">
        <v>1</v>
      </c>
      <c r="F64" s="368">
        <v>2100223</v>
      </c>
      <c r="G64" s="323">
        <f>IF(ISBLANK(F64),"-",(F64/$D$50*$D$47*$B$68)*($B$57/$D$64))</f>
        <v>79.818317329043779</v>
      </c>
      <c r="H64" s="320">
        <f t="shared" si="0"/>
        <v>0.99772896661304722</v>
      </c>
    </row>
    <row r="65" spans="1:8" ht="26.25" customHeight="1" x14ac:dyDescent="0.4">
      <c r="A65" s="233" t="s">
        <v>99</v>
      </c>
      <c r="B65" s="361">
        <v>1</v>
      </c>
      <c r="C65" s="495"/>
      <c r="D65" s="498"/>
      <c r="E65" s="262">
        <v>2</v>
      </c>
      <c r="F65" s="363">
        <v>2098403</v>
      </c>
      <c r="G65" s="324">
        <f>IF(ISBLANK(F65),"-",(F65/$D$50*$D$47*$B$68)*($B$57/$D$64))</f>
        <v>79.749148799064386</v>
      </c>
      <c r="H65" s="321">
        <f t="shared" si="0"/>
        <v>0.9968643599883048</v>
      </c>
    </row>
    <row r="66" spans="1:8" ht="26.25" customHeight="1" x14ac:dyDescent="0.4">
      <c r="A66" s="233" t="s">
        <v>100</v>
      </c>
      <c r="B66" s="361">
        <v>1</v>
      </c>
      <c r="C66" s="495"/>
      <c r="D66" s="498"/>
      <c r="E66" s="262">
        <v>3</v>
      </c>
      <c r="F66" s="363">
        <v>2110308</v>
      </c>
      <c r="G66" s="324">
        <f>IF(ISBLANK(F66),"-",(F66/$D$50*$D$47*$B$68)*($B$57/$D$64))</f>
        <v>80.201594595440426</v>
      </c>
      <c r="H66" s="321">
        <f t="shared" si="0"/>
        <v>1.0025199324430054</v>
      </c>
    </row>
    <row r="67" spans="1:8" ht="21" customHeight="1" thickBot="1" x14ac:dyDescent="0.45">
      <c r="A67" s="233" t="s">
        <v>101</v>
      </c>
      <c r="B67" s="361">
        <v>1</v>
      </c>
      <c r="C67" s="496"/>
      <c r="D67" s="499"/>
      <c r="E67" s="263">
        <v>4</v>
      </c>
      <c r="F67" s="369"/>
      <c r="G67" s="325" t="str">
        <f>IF(ISBLANK(F67),"-",(F67/$D$50*$D$47*$B$68)*($B$57/$D$64))</f>
        <v>-</v>
      </c>
      <c r="H67" s="322" t="str">
        <f t="shared" si="0"/>
        <v>-</v>
      </c>
    </row>
    <row r="68" spans="1:8" ht="21.75" customHeight="1" x14ac:dyDescent="0.4">
      <c r="A68" s="233" t="s">
        <v>102</v>
      </c>
      <c r="B68" s="331">
        <f>(B67/B66)*(B65/B64)*(B63/B62)*(B61/B60)*B59</f>
        <v>100</v>
      </c>
      <c r="C68" s="494" t="s">
        <v>103</v>
      </c>
      <c r="D68" s="497">
        <v>189.95</v>
      </c>
      <c r="E68" s="261">
        <v>1</v>
      </c>
      <c r="F68" s="368">
        <v>1998691</v>
      </c>
      <c r="G68" s="323">
        <f>IF(ISBLANK(F68),"-",(F68/$D$50*$D$47*$B$68)*($B$57/$D$68))</f>
        <v>76.803399144587218</v>
      </c>
      <c r="H68" s="420">
        <f t="shared" si="0"/>
        <v>0.96004248930734026</v>
      </c>
    </row>
    <row r="69" spans="1:8" ht="21.75" customHeight="1" thickBot="1" x14ac:dyDescent="0.45">
      <c r="A69" s="348" t="s">
        <v>104</v>
      </c>
      <c r="B69" s="367">
        <f>D47*B68/B56*B57</f>
        <v>204.94212500000009</v>
      </c>
      <c r="C69" s="495"/>
      <c r="D69" s="498"/>
      <c r="E69" s="262">
        <v>2</v>
      </c>
      <c r="F69" s="363">
        <v>1990581</v>
      </c>
      <c r="G69" s="324">
        <f>IF(ISBLANK(F69),"-",(F69/$D$50*$D$47*$B$68)*($B$57/$D$68))</f>
        <v>76.491757391528523</v>
      </c>
      <c r="H69" s="420">
        <f t="shared" si="0"/>
        <v>0.95614696739410654</v>
      </c>
    </row>
    <row r="70" spans="1:8" ht="22.5" customHeight="1" x14ac:dyDescent="0.4">
      <c r="A70" s="501" t="s">
        <v>77</v>
      </c>
      <c r="B70" s="502"/>
      <c r="C70" s="495"/>
      <c r="D70" s="498"/>
      <c r="E70" s="262">
        <v>3</v>
      </c>
      <c r="F70" s="363">
        <v>2001202</v>
      </c>
      <c r="G70" s="324">
        <f>IF(ISBLANK(F70),"-",(F70/$D$50*$D$47*$B$68)*($B$57/$D$68))</f>
        <v>76.899888964800567</v>
      </c>
      <c r="H70" s="420">
        <f t="shared" si="0"/>
        <v>0.96124861206000711</v>
      </c>
    </row>
    <row r="71" spans="1:8" ht="21.75" customHeight="1" thickBot="1" x14ac:dyDescent="0.45">
      <c r="A71" s="503"/>
      <c r="B71" s="504"/>
      <c r="C71" s="500"/>
      <c r="D71" s="499"/>
      <c r="E71" s="263">
        <v>4</v>
      </c>
      <c r="F71" s="369"/>
      <c r="G71" s="325" t="str">
        <f>IF(ISBLANK(F71),"-",(F71/$D$50*$D$47*$B$68)*($B$57/$D$68))</f>
        <v>-</v>
      </c>
      <c r="H71" s="421" t="str">
        <f t="shared" si="0"/>
        <v>-</v>
      </c>
    </row>
    <row r="72" spans="1:8" ht="26.25" customHeight="1" x14ac:dyDescent="0.4">
      <c r="A72" s="265"/>
      <c r="B72" s="265"/>
      <c r="C72" s="265"/>
      <c r="D72" s="265"/>
      <c r="E72" s="265"/>
      <c r="F72" s="265"/>
      <c r="G72" s="254" t="s">
        <v>70</v>
      </c>
      <c r="H72" s="370">
        <f>AVERAGE(H60:H67)</f>
        <v>1.0136801806722702</v>
      </c>
    </row>
    <row r="73" spans="1:8" ht="26.25" customHeight="1" x14ac:dyDescent="0.4">
      <c r="C73" s="265"/>
      <c r="D73" s="265"/>
      <c r="E73" s="265"/>
      <c r="F73" s="265"/>
      <c r="G73" s="251" t="s">
        <v>83</v>
      </c>
      <c r="H73" s="371">
        <f>STDEV(H60:H67)/H72</f>
        <v>1.6372694299888826E-2</v>
      </c>
    </row>
    <row r="74" spans="1:8" ht="27" customHeight="1" thickBot="1" x14ac:dyDescent="0.45">
      <c r="A74" s="265"/>
      <c r="B74" s="265"/>
      <c r="C74" s="265"/>
      <c r="D74" s="265"/>
      <c r="E74" s="266"/>
      <c r="F74" s="265"/>
      <c r="G74" s="253" t="s">
        <v>19</v>
      </c>
      <c r="H74" s="372">
        <f>COUNT(H60:H67)</f>
        <v>6</v>
      </c>
    </row>
    <row r="75" spans="1:8" ht="18.75" x14ac:dyDescent="0.3">
      <c r="A75" s="265"/>
      <c r="B75" s="265"/>
      <c r="C75" s="265"/>
      <c r="D75" s="265"/>
      <c r="E75" s="266"/>
      <c r="F75" s="265"/>
      <c r="G75" s="354"/>
      <c r="H75" s="387"/>
    </row>
    <row r="76" spans="1:8" ht="18.75" x14ac:dyDescent="0.3">
      <c r="A76" s="319" t="s">
        <v>129</v>
      </c>
      <c r="B76" s="354" t="s">
        <v>122</v>
      </c>
      <c r="C76" s="490" t="str">
        <f>C56</f>
        <v>ARTEMETHER</v>
      </c>
      <c r="D76" s="491"/>
      <c r="E76" s="355" t="s">
        <v>107</v>
      </c>
      <c r="F76" s="355"/>
      <c r="G76" s="356">
        <f>H72</f>
        <v>1.0136801806722702</v>
      </c>
      <c r="H76" s="387"/>
    </row>
    <row r="77" spans="1:8" ht="18.75" x14ac:dyDescent="0.3">
      <c r="A77" s="265"/>
      <c r="B77" s="265"/>
      <c r="C77" s="265"/>
      <c r="D77" s="265"/>
      <c r="E77" s="266"/>
      <c r="F77" s="265"/>
      <c r="G77" s="354"/>
      <c r="H77" s="387"/>
    </row>
    <row r="78" spans="1:8" ht="26.25" customHeight="1" x14ac:dyDescent="0.4">
      <c r="A78" s="219" t="s">
        <v>130</v>
      </c>
      <c r="B78" s="219" t="s">
        <v>131</v>
      </c>
      <c r="D78" s="376" t="s">
        <v>132</v>
      </c>
    </row>
    <row r="79" spans="1:8" ht="18.75" x14ac:dyDescent="0.3">
      <c r="A79" s="219"/>
      <c r="B79" s="219"/>
    </row>
    <row r="80" spans="1:8" ht="26.25" customHeight="1" x14ac:dyDescent="0.4">
      <c r="A80" s="319" t="s">
        <v>4</v>
      </c>
      <c r="B80" s="505" t="str">
        <f>B26</f>
        <v>ARTEMETHER</v>
      </c>
      <c r="C80" s="505"/>
    </row>
    <row r="81" spans="1:11" ht="26.25" customHeight="1" x14ac:dyDescent="0.4">
      <c r="A81" s="354" t="s">
        <v>47</v>
      </c>
      <c r="B81" s="358" t="str">
        <f>B27</f>
        <v>F0J018</v>
      </c>
    </row>
    <row r="82" spans="1:11" ht="27" customHeight="1" thickBot="1" x14ac:dyDescent="0.45">
      <c r="A82" s="354" t="s">
        <v>6</v>
      </c>
      <c r="B82" s="358">
        <f>B28</f>
        <v>99.8</v>
      </c>
    </row>
    <row r="83" spans="1:11" s="29" customFormat="1" ht="27" customHeight="1" thickBot="1" x14ac:dyDescent="0.45">
      <c r="A83" s="354" t="s">
        <v>48</v>
      </c>
      <c r="B83" s="358">
        <f>B29</f>
        <v>0</v>
      </c>
      <c r="C83" s="506" t="s">
        <v>49</v>
      </c>
      <c r="D83" s="507"/>
      <c r="E83" s="507"/>
      <c r="F83" s="507"/>
      <c r="G83" s="508"/>
      <c r="I83" s="224"/>
      <c r="J83" s="224"/>
      <c r="K83" s="224"/>
    </row>
    <row r="84" spans="1:11" s="29" customFormat="1" ht="19.5" customHeight="1" thickBot="1" x14ac:dyDescent="0.35">
      <c r="A84" s="354" t="s">
        <v>50</v>
      </c>
      <c r="B84" s="387">
        <f>B82-B83</f>
        <v>99.8</v>
      </c>
      <c r="C84" s="225"/>
      <c r="D84" s="225"/>
      <c r="E84" s="225"/>
      <c r="F84" s="225"/>
      <c r="G84" s="226"/>
      <c r="I84" s="224"/>
      <c r="J84" s="224"/>
      <c r="K84" s="224"/>
    </row>
    <row r="85" spans="1:11" s="29" customFormat="1" ht="27" customHeight="1" thickBot="1" x14ac:dyDescent="0.45">
      <c r="A85" s="354" t="s">
        <v>51</v>
      </c>
      <c r="B85" s="359">
        <v>1</v>
      </c>
      <c r="C85" s="509" t="s">
        <v>52</v>
      </c>
      <c r="D85" s="510"/>
      <c r="E85" s="510"/>
      <c r="F85" s="510"/>
      <c r="G85" s="510"/>
      <c r="H85" s="511"/>
      <c r="I85" s="224"/>
      <c r="J85" s="224"/>
      <c r="K85" s="224"/>
    </row>
    <row r="86" spans="1:11" s="29" customFormat="1" ht="27" customHeight="1" thickBot="1" x14ac:dyDescent="0.45">
      <c r="A86" s="354" t="s">
        <v>53</v>
      </c>
      <c r="B86" s="359">
        <v>1</v>
      </c>
      <c r="C86" s="509" t="s">
        <v>54</v>
      </c>
      <c r="D86" s="510"/>
      <c r="E86" s="510"/>
      <c r="F86" s="510"/>
      <c r="G86" s="510"/>
      <c r="H86" s="511"/>
      <c r="I86" s="224"/>
      <c r="J86" s="224"/>
      <c r="K86" s="224"/>
    </row>
    <row r="87" spans="1:11" s="29" customFormat="1" ht="18.75" x14ac:dyDescent="0.3">
      <c r="A87" s="354"/>
      <c r="B87" s="387"/>
      <c r="C87" s="225"/>
      <c r="D87" s="225"/>
      <c r="E87" s="225"/>
      <c r="F87" s="225"/>
      <c r="G87" s="226"/>
      <c r="I87" s="224"/>
      <c r="J87" s="224"/>
      <c r="K87" s="224"/>
    </row>
    <row r="88" spans="1:11" s="29" customFormat="1" ht="18.75" x14ac:dyDescent="0.3">
      <c r="A88" s="354" t="s">
        <v>55</v>
      </c>
      <c r="B88" s="231">
        <f>B85/B86</f>
        <v>1</v>
      </c>
      <c r="C88" s="355" t="s">
        <v>56</v>
      </c>
      <c r="D88" s="225"/>
      <c r="E88" s="225"/>
      <c r="F88" s="225"/>
      <c r="G88" s="226"/>
      <c r="I88" s="224"/>
      <c r="J88" s="224"/>
      <c r="K88" s="224"/>
    </row>
    <row r="89" spans="1:11" ht="19.5" customHeight="1" thickBot="1" x14ac:dyDescent="0.35">
      <c r="A89" s="219"/>
      <c r="B89" s="219"/>
    </row>
    <row r="90" spans="1:11" ht="27" customHeight="1" thickBot="1" x14ac:dyDescent="0.45">
      <c r="A90" s="232" t="s">
        <v>125</v>
      </c>
      <c r="B90" s="360">
        <v>100</v>
      </c>
      <c r="D90" s="389" t="s">
        <v>58</v>
      </c>
      <c r="E90" s="390"/>
      <c r="F90" s="492" t="s">
        <v>59</v>
      </c>
      <c r="G90" s="493"/>
    </row>
    <row r="91" spans="1:11" ht="26.25" customHeight="1" x14ac:dyDescent="0.4">
      <c r="A91" s="233" t="s">
        <v>60</v>
      </c>
      <c r="B91" s="361">
        <v>5</v>
      </c>
      <c r="C91" s="388" t="s">
        <v>126</v>
      </c>
      <c r="D91" s="236" t="s">
        <v>62</v>
      </c>
      <c r="E91" s="293" t="s">
        <v>63</v>
      </c>
      <c r="F91" s="236" t="s">
        <v>62</v>
      </c>
      <c r="G91" s="237" t="s">
        <v>63</v>
      </c>
    </row>
    <row r="92" spans="1:11" ht="26.25" customHeight="1" x14ac:dyDescent="0.4">
      <c r="A92" s="233" t="s">
        <v>65</v>
      </c>
      <c r="B92" s="361">
        <v>50</v>
      </c>
      <c r="C92" s="290">
        <v>1</v>
      </c>
      <c r="D92" s="401">
        <v>1591675</v>
      </c>
      <c r="E92" s="402">
        <f>IF(ISBLANK(D92),"-",$D$102/$D$99*D92)</f>
        <v>1333498.9376746807</v>
      </c>
      <c r="F92" s="401">
        <v>1387513</v>
      </c>
      <c r="G92" s="403">
        <f>IF(ISBLANK(F92),"-",$D$102/$F$99*F92)</f>
        <v>1324719.9496658875</v>
      </c>
    </row>
    <row r="93" spans="1:11" ht="26.25" customHeight="1" x14ac:dyDescent="0.4">
      <c r="A93" s="233" t="s">
        <v>66</v>
      </c>
      <c r="B93" s="361">
        <v>1</v>
      </c>
      <c r="C93" s="265">
        <v>2</v>
      </c>
      <c r="D93" s="404">
        <v>1585029</v>
      </c>
      <c r="E93" s="405">
        <f>IF(ISBLANK(D93),"-",$D$102/$D$99*D93)</f>
        <v>1327930.9455030465</v>
      </c>
      <c r="F93" s="404">
        <v>1383775</v>
      </c>
      <c r="G93" s="406">
        <f>IF(ISBLANK(F93),"-",$D$102/$F$99*F93)</f>
        <v>1321151.1159527251</v>
      </c>
    </row>
    <row r="94" spans="1:11" ht="26.25" customHeight="1" x14ac:dyDescent="0.4">
      <c r="A94" s="233" t="s">
        <v>67</v>
      </c>
      <c r="B94" s="361">
        <v>1</v>
      </c>
      <c r="C94" s="265">
        <v>3</v>
      </c>
      <c r="D94" s="404">
        <v>1583369</v>
      </c>
      <c r="E94" s="405">
        <f>IF(ISBLANK(D94),"-",$D$102/$D$99*D94)</f>
        <v>1326540.204154128</v>
      </c>
      <c r="F94" s="404">
        <v>1383653</v>
      </c>
      <c r="G94" s="406">
        <f>IF(ISBLANK(F94),"-",$D$102/$F$99*F94)</f>
        <v>1321034.637163799</v>
      </c>
    </row>
    <row r="95" spans="1:11" ht="26.25" customHeight="1" x14ac:dyDescent="0.4">
      <c r="A95" s="233" t="s">
        <v>68</v>
      </c>
      <c r="B95" s="361">
        <v>1</v>
      </c>
      <c r="C95" s="294">
        <v>4</v>
      </c>
      <c r="D95" s="407"/>
      <c r="E95" s="408" t="str">
        <f>IF(ISBLANK(D95),"-",$D$102/$D$99*D95)</f>
        <v>-</v>
      </c>
      <c r="F95" s="409"/>
      <c r="G95" s="410" t="str">
        <f>IF(ISBLANK(F95),"-",$D$102/$F$99*F95)</f>
        <v>-</v>
      </c>
    </row>
    <row r="96" spans="1:11" ht="27" customHeight="1" thickBot="1" x14ac:dyDescent="0.45">
      <c r="A96" s="233" t="s">
        <v>69</v>
      </c>
      <c r="B96" s="361">
        <v>1</v>
      </c>
      <c r="C96" s="354" t="s">
        <v>70</v>
      </c>
      <c r="D96" s="411">
        <f>AVERAGE(D92:D95)</f>
        <v>1586691</v>
      </c>
      <c r="E96" s="412">
        <f>AVERAGE(E92:E95)</f>
        <v>1329323.3624439519</v>
      </c>
      <c r="F96" s="413">
        <f>AVERAGE(F92:F95)</f>
        <v>1384980.3333333333</v>
      </c>
      <c r="G96" s="414">
        <f>AVERAGE(G92:G95)</f>
        <v>1322301.9009274708</v>
      </c>
    </row>
    <row r="97" spans="1:9" ht="26.25" customHeight="1" x14ac:dyDescent="0.4">
      <c r="A97" s="233" t="s">
        <v>71</v>
      </c>
      <c r="B97" s="358">
        <v>1</v>
      </c>
      <c r="C97" s="340" t="s">
        <v>112</v>
      </c>
      <c r="D97" s="415">
        <v>23.92</v>
      </c>
      <c r="E97" s="416"/>
      <c r="F97" s="417">
        <v>20.99</v>
      </c>
      <c r="G97" s="418"/>
    </row>
    <row r="98" spans="1:9" ht="26.25" customHeight="1" x14ac:dyDescent="0.4">
      <c r="A98" s="233" t="s">
        <v>73</v>
      </c>
      <c r="B98" s="358">
        <v>1</v>
      </c>
      <c r="C98" s="341" t="s">
        <v>113</v>
      </c>
      <c r="D98" s="342">
        <f>D97*B88</f>
        <v>23.92</v>
      </c>
      <c r="E98" s="265"/>
      <c r="F98" s="246">
        <f>F97*B88</f>
        <v>20.99</v>
      </c>
    </row>
    <row r="99" spans="1:9" ht="19.5" customHeight="1" thickBot="1" x14ac:dyDescent="0.35">
      <c r="A99" s="233" t="s">
        <v>75</v>
      </c>
      <c r="B99" s="387">
        <f>(B98/B97)*(B96/B95)*(B94/B93)*(B92/B91)*B90</f>
        <v>1000</v>
      </c>
      <c r="C99" s="341" t="s">
        <v>76</v>
      </c>
      <c r="D99" s="350">
        <f>D98*$B$84/100</f>
        <v>23.872159999999997</v>
      </c>
      <c r="E99" s="266"/>
      <c r="F99" s="248">
        <f>F98*$B$84/100</f>
        <v>20.948019999999996</v>
      </c>
    </row>
    <row r="100" spans="1:9" ht="19.5" customHeight="1" thickBot="1" x14ac:dyDescent="0.35">
      <c r="A100" s="484" t="s">
        <v>77</v>
      </c>
      <c r="B100" s="485"/>
      <c r="C100" s="341" t="s">
        <v>78</v>
      </c>
      <c r="D100" s="342">
        <f>D99/$B$99</f>
        <v>2.3872159999999996E-2</v>
      </c>
      <c r="E100" s="266"/>
      <c r="F100" s="250">
        <f>F99/$B$99</f>
        <v>2.0948019999999998E-2</v>
      </c>
      <c r="H100" s="327"/>
    </row>
    <row r="101" spans="1:9" ht="19.5" customHeight="1" thickBot="1" x14ac:dyDescent="0.35">
      <c r="A101" s="486"/>
      <c r="B101" s="487"/>
      <c r="C101" s="341" t="s">
        <v>127</v>
      </c>
      <c r="D101" s="350">
        <f>$B$56/$B$117</f>
        <v>0.02</v>
      </c>
      <c r="F101" s="252"/>
      <c r="G101" s="329"/>
      <c r="H101" s="327"/>
    </row>
    <row r="102" spans="1:9" ht="18.75" x14ac:dyDescent="0.3">
      <c r="C102" s="341" t="s">
        <v>80</v>
      </c>
      <c r="D102" s="342">
        <f>D101*$B$99</f>
        <v>20</v>
      </c>
      <c r="F102" s="252"/>
      <c r="H102" s="327"/>
    </row>
    <row r="103" spans="1:9" ht="19.5" customHeight="1" thickBot="1" x14ac:dyDescent="0.35">
      <c r="C103" s="344" t="s">
        <v>81</v>
      </c>
      <c r="D103" s="351">
        <f>D102/B34</f>
        <v>20</v>
      </c>
      <c r="F103" s="255"/>
      <c r="H103" s="327"/>
      <c r="I103" s="269"/>
    </row>
    <row r="104" spans="1:9" ht="18.75" x14ac:dyDescent="0.3">
      <c r="C104" s="346" t="s">
        <v>116</v>
      </c>
      <c r="D104" s="347">
        <f>AVERAGE(E92:E95,G92:G95)</f>
        <v>1325812.6316857112</v>
      </c>
      <c r="F104" s="255"/>
      <c r="G104" s="329"/>
      <c r="H104" s="327"/>
      <c r="I104" s="271"/>
    </row>
    <row r="105" spans="1:9" ht="18.75" x14ac:dyDescent="0.3">
      <c r="C105" s="251" t="s">
        <v>83</v>
      </c>
      <c r="D105" s="270">
        <f>STDEV(E92:E95,G92:G95)/D104</f>
        <v>3.5353349130577199E-3</v>
      </c>
      <c r="F105" s="255"/>
      <c r="H105" s="327"/>
      <c r="I105" s="271"/>
    </row>
    <row r="106" spans="1:9" ht="19.5" customHeight="1" thickBot="1" x14ac:dyDescent="0.35">
      <c r="C106" s="253" t="s">
        <v>19</v>
      </c>
      <c r="D106" s="272">
        <f>COUNT(E92:E95,G92:G95)</f>
        <v>6</v>
      </c>
      <c r="F106" s="255"/>
      <c r="H106" s="327"/>
      <c r="I106" s="271"/>
    </row>
    <row r="107" spans="1:9" ht="19.5" customHeight="1" thickBot="1" x14ac:dyDescent="0.35">
      <c r="A107" s="213"/>
      <c r="B107" s="213"/>
      <c r="C107" s="213"/>
      <c r="D107" s="213"/>
      <c r="E107" s="213"/>
    </row>
    <row r="108" spans="1:9" ht="26.25" customHeight="1" x14ac:dyDescent="0.4">
      <c r="A108" s="232" t="s">
        <v>117</v>
      </c>
      <c r="B108" s="360">
        <v>1000</v>
      </c>
      <c r="C108" s="389" t="s">
        <v>133</v>
      </c>
      <c r="D108" s="274" t="s">
        <v>62</v>
      </c>
      <c r="E108" s="275" t="s">
        <v>119</v>
      </c>
      <c r="F108" s="276" t="s">
        <v>120</v>
      </c>
    </row>
    <row r="109" spans="1:9" ht="26.25" customHeight="1" x14ac:dyDescent="0.4">
      <c r="A109" s="233" t="s">
        <v>121</v>
      </c>
      <c r="B109" s="361">
        <v>5</v>
      </c>
      <c r="C109" s="239">
        <v>1</v>
      </c>
      <c r="D109" s="374">
        <v>519739</v>
      </c>
      <c r="E109" s="277">
        <f t="shared" ref="E109:E114" si="1">IF(ISBLANK(D109),"-",D109/$D$104*$D$101*$B$117)</f>
        <v>31.361233862385227</v>
      </c>
      <c r="F109" s="278">
        <f t="shared" ref="F109:F114" si="2">IF(ISBLANK(D109), "-", E109/$B$56)</f>
        <v>0.39201542327981531</v>
      </c>
    </row>
    <row r="110" spans="1:9" ht="26.25" customHeight="1" x14ac:dyDescent="0.4">
      <c r="A110" s="233" t="s">
        <v>94</v>
      </c>
      <c r="B110" s="361">
        <v>20</v>
      </c>
      <c r="C110" s="239">
        <v>2</v>
      </c>
      <c r="D110" s="374">
        <v>621102</v>
      </c>
      <c r="E110" s="279">
        <f t="shared" si="1"/>
        <v>37.477512894732151</v>
      </c>
      <c r="F110" s="302">
        <f t="shared" si="2"/>
        <v>0.4684689111841519</v>
      </c>
    </row>
    <row r="111" spans="1:9" ht="26.25" customHeight="1" x14ac:dyDescent="0.4">
      <c r="A111" s="233" t="s">
        <v>95</v>
      </c>
      <c r="B111" s="361">
        <v>1</v>
      </c>
      <c r="C111" s="239">
        <v>3</v>
      </c>
      <c r="D111" s="374">
        <v>832437</v>
      </c>
      <c r="E111" s="279">
        <f t="shared" si="1"/>
        <v>50.229541044067069</v>
      </c>
      <c r="F111" s="302">
        <f t="shared" si="2"/>
        <v>0.62786926305083834</v>
      </c>
    </row>
    <row r="112" spans="1:9" ht="26.25" customHeight="1" x14ac:dyDescent="0.4">
      <c r="A112" s="233" t="s">
        <v>96</v>
      </c>
      <c r="B112" s="361">
        <v>1</v>
      </c>
      <c r="C112" s="239">
        <v>4</v>
      </c>
      <c r="D112" s="374">
        <v>471673</v>
      </c>
      <c r="E112" s="279">
        <f t="shared" si="1"/>
        <v>28.460914535127877</v>
      </c>
      <c r="F112" s="302">
        <f t="shared" si="2"/>
        <v>0.35576143168909846</v>
      </c>
    </row>
    <row r="113" spans="1:9" ht="26.25" customHeight="1" x14ac:dyDescent="0.4">
      <c r="A113" s="233" t="s">
        <v>97</v>
      </c>
      <c r="B113" s="361">
        <v>1</v>
      </c>
      <c r="C113" s="239">
        <v>5</v>
      </c>
      <c r="D113" s="374">
        <v>879345</v>
      </c>
      <c r="E113" s="279">
        <f t="shared" si="1"/>
        <v>53.059986244478743</v>
      </c>
      <c r="F113" s="302">
        <f t="shared" si="2"/>
        <v>0.66324982805598431</v>
      </c>
    </row>
    <row r="114" spans="1:9" ht="26.25" customHeight="1" x14ac:dyDescent="0.4">
      <c r="A114" s="233" t="s">
        <v>99</v>
      </c>
      <c r="B114" s="361">
        <v>1</v>
      </c>
      <c r="C114" s="242">
        <v>6</v>
      </c>
      <c r="D114" s="375">
        <v>526378</v>
      </c>
      <c r="E114" s="280">
        <f t="shared" si="1"/>
        <v>31.761833454896809</v>
      </c>
      <c r="F114" s="303">
        <f t="shared" si="2"/>
        <v>0.39702291818621011</v>
      </c>
    </row>
    <row r="115" spans="1:9" ht="26.25" customHeight="1" x14ac:dyDescent="0.4">
      <c r="A115" s="233" t="s">
        <v>100</v>
      </c>
      <c r="B115" s="361">
        <v>1</v>
      </c>
      <c r="C115" s="239"/>
      <c r="D115" s="265"/>
      <c r="E115" s="355"/>
      <c r="F115" s="281"/>
    </row>
    <row r="116" spans="1:9" ht="26.25" customHeight="1" x14ac:dyDescent="0.4">
      <c r="A116" s="233" t="s">
        <v>101</v>
      </c>
      <c r="B116" s="361">
        <v>1</v>
      </c>
      <c r="C116" s="239"/>
      <c r="D116" s="282"/>
      <c r="E116" s="283" t="s">
        <v>70</v>
      </c>
      <c r="F116" s="379">
        <f>AVERAGE(F109:F114)</f>
        <v>0.4840646292410164</v>
      </c>
    </row>
    <row r="117" spans="1:9" ht="27" customHeight="1" thickBot="1" x14ac:dyDescent="0.45">
      <c r="A117" s="233" t="s">
        <v>102</v>
      </c>
      <c r="B117" s="331">
        <f>(B116/B115)*(B114/B113)*(B112/B111)*(B110/B109)*B108</f>
        <v>4000</v>
      </c>
      <c r="C117" s="284"/>
      <c r="D117" s="285"/>
      <c r="E117" s="354" t="s">
        <v>83</v>
      </c>
      <c r="F117" s="380">
        <f>STDEV(F109:F114)/F116</f>
        <v>0.27020894740046575</v>
      </c>
    </row>
    <row r="118" spans="1:9" ht="27" customHeight="1" thickBot="1" x14ac:dyDescent="0.45">
      <c r="A118" s="484" t="s">
        <v>77</v>
      </c>
      <c r="B118" s="488"/>
      <c r="C118" s="287"/>
      <c r="D118" s="288"/>
      <c r="E118" s="289" t="s">
        <v>19</v>
      </c>
      <c r="F118" s="381">
        <f>COUNT(F109:F114)</f>
        <v>6</v>
      </c>
      <c r="I118" s="271"/>
    </row>
    <row r="119" spans="1:9" ht="19.5" customHeight="1" thickBot="1" x14ac:dyDescent="0.35">
      <c r="A119" s="486"/>
      <c r="B119" s="489"/>
      <c r="C119" s="355"/>
      <c r="D119" s="355"/>
      <c r="E119" s="355"/>
      <c r="F119" s="265"/>
      <c r="G119" s="355"/>
      <c r="H119" s="355"/>
    </row>
    <row r="120" spans="1:9" ht="18.75" x14ac:dyDescent="0.3">
      <c r="A120" s="230"/>
      <c r="B120" s="230"/>
      <c r="C120" s="355"/>
      <c r="D120" s="355"/>
      <c r="E120" s="355"/>
      <c r="F120" s="265"/>
      <c r="G120" s="355"/>
      <c r="H120" s="355"/>
    </row>
    <row r="121" spans="1:9" ht="26.25" customHeight="1" x14ac:dyDescent="0.4">
      <c r="A121" s="319" t="s">
        <v>129</v>
      </c>
      <c r="B121" s="354" t="s">
        <v>122</v>
      </c>
      <c r="C121" s="490" t="str">
        <f>C76</f>
        <v>ARTEMETHER</v>
      </c>
      <c r="D121" s="491"/>
      <c r="E121" s="355" t="s">
        <v>123</v>
      </c>
      <c r="F121" s="355"/>
      <c r="G121" s="382">
        <f>F116</f>
        <v>0.4840646292410164</v>
      </c>
      <c r="H121" s="355"/>
    </row>
    <row r="122" spans="1:9" ht="18.75" x14ac:dyDescent="0.3">
      <c r="A122" s="230"/>
      <c r="B122" s="230"/>
      <c r="C122" s="355"/>
      <c r="D122" s="355"/>
      <c r="E122" s="355"/>
      <c r="F122" s="265"/>
      <c r="G122" s="355"/>
      <c r="H122" s="355"/>
    </row>
    <row r="123" spans="1:9" ht="26.25" customHeight="1" x14ac:dyDescent="0.4">
      <c r="A123" s="219" t="s">
        <v>130</v>
      </c>
      <c r="B123" s="219" t="s">
        <v>131</v>
      </c>
      <c r="D123" s="376" t="s">
        <v>134</v>
      </c>
    </row>
    <row r="124" spans="1:9" ht="19.5" customHeight="1" thickBot="1" x14ac:dyDescent="0.35">
      <c r="A124" s="213"/>
      <c r="B124" s="213"/>
      <c r="C124" s="213"/>
      <c r="D124" s="213"/>
      <c r="E124" s="213"/>
    </row>
    <row r="125" spans="1:9" ht="26.25" customHeight="1" x14ac:dyDescent="0.4">
      <c r="A125" s="232" t="s">
        <v>117</v>
      </c>
      <c r="B125" s="360">
        <v>1000</v>
      </c>
      <c r="C125" s="389" t="s">
        <v>133</v>
      </c>
      <c r="D125" s="274" t="s">
        <v>62</v>
      </c>
      <c r="E125" s="275" t="s">
        <v>119</v>
      </c>
      <c r="F125" s="276" t="s">
        <v>120</v>
      </c>
    </row>
    <row r="126" spans="1:9" ht="26.25" customHeight="1" x14ac:dyDescent="0.4">
      <c r="A126" s="233" t="s">
        <v>121</v>
      </c>
      <c r="B126" s="361">
        <v>5</v>
      </c>
      <c r="C126" s="239">
        <v>1</v>
      </c>
      <c r="D126" s="377">
        <v>671457</v>
      </c>
      <c r="E126" s="335">
        <f t="shared" ref="E126:E131" si="3">IF(ISBLANK(D126),"-",D126/$D$104*$D$101*$B$134)</f>
        <v>40.515951286194792</v>
      </c>
      <c r="F126" s="332">
        <f t="shared" ref="F126:F131" si="4">IF(ISBLANK(D126), "-", E126/$B$56)</f>
        <v>0.50644939107743492</v>
      </c>
      <c r="G126" s="326" t="s">
        <v>136</v>
      </c>
    </row>
    <row r="127" spans="1:9" ht="26.25" customHeight="1" x14ac:dyDescent="0.4">
      <c r="A127" s="233" t="s">
        <v>94</v>
      </c>
      <c r="B127" s="361">
        <v>20</v>
      </c>
      <c r="C127" s="239">
        <v>2</v>
      </c>
      <c r="D127" s="377">
        <v>689763</v>
      </c>
      <c r="E127" s="336">
        <f t="shared" si="3"/>
        <v>41.620541757729207</v>
      </c>
      <c r="F127" s="333">
        <f t="shared" si="4"/>
        <v>0.52025677197161513</v>
      </c>
    </row>
    <row r="128" spans="1:9" ht="26.25" customHeight="1" x14ac:dyDescent="0.4">
      <c r="A128" s="233" t="s">
        <v>95</v>
      </c>
      <c r="B128" s="361">
        <v>1</v>
      </c>
      <c r="C128" s="239">
        <v>3</v>
      </c>
      <c r="D128" s="377">
        <v>691005</v>
      </c>
      <c r="E128" s="336">
        <f t="shared" si="3"/>
        <v>41.695484474087003</v>
      </c>
      <c r="F128" s="333">
        <f t="shared" si="4"/>
        <v>0.52119355592608752</v>
      </c>
    </row>
    <row r="129" spans="1:9" ht="26.25" customHeight="1" x14ac:dyDescent="0.4">
      <c r="A129" s="233" t="s">
        <v>96</v>
      </c>
      <c r="B129" s="361">
        <v>1</v>
      </c>
      <c r="C129" s="239">
        <v>4</v>
      </c>
      <c r="D129" s="377">
        <v>797805</v>
      </c>
      <c r="E129" s="336">
        <f t="shared" si="3"/>
        <v>48.139833996641094</v>
      </c>
      <c r="F129" s="333">
        <f t="shared" si="4"/>
        <v>0.60174792495801366</v>
      </c>
    </row>
    <row r="130" spans="1:9" ht="26.25" customHeight="1" x14ac:dyDescent="0.4">
      <c r="A130" s="233" t="s">
        <v>97</v>
      </c>
      <c r="B130" s="361">
        <v>1</v>
      </c>
      <c r="C130" s="239">
        <v>5</v>
      </c>
      <c r="D130" s="377">
        <v>512965</v>
      </c>
      <c r="E130" s="336">
        <f t="shared" si="3"/>
        <v>30.952488322443454</v>
      </c>
      <c r="F130" s="333">
        <f t="shared" si="4"/>
        <v>0.38690610403054315</v>
      </c>
    </row>
    <row r="131" spans="1:9" ht="26.25" customHeight="1" x14ac:dyDescent="0.4">
      <c r="A131" s="233" t="s">
        <v>99</v>
      </c>
      <c r="B131" s="361">
        <v>1</v>
      </c>
      <c r="C131" s="242">
        <v>6</v>
      </c>
      <c r="D131" s="378">
        <v>399274</v>
      </c>
      <c r="E131" s="337">
        <f t="shared" si="3"/>
        <v>24.092333438841415</v>
      </c>
      <c r="F131" s="334">
        <f t="shared" si="4"/>
        <v>0.3011541679855177</v>
      </c>
    </row>
    <row r="132" spans="1:9" ht="26.25" customHeight="1" x14ac:dyDescent="0.4">
      <c r="A132" s="233" t="s">
        <v>100</v>
      </c>
      <c r="B132" s="361">
        <v>1</v>
      </c>
      <c r="C132" s="239"/>
      <c r="D132" s="265"/>
      <c r="E132" s="355"/>
      <c r="F132" s="281"/>
    </row>
    <row r="133" spans="1:9" ht="26.25" customHeight="1" x14ac:dyDescent="0.4">
      <c r="A133" s="233" t="s">
        <v>101</v>
      </c>
      <c r="B133" s="361">
        <v>1</v>
      </c>
      <c r="C133" s="239"/>
      <c r="D133" s="282"/>
      <c r="E133" s="283" t="s">
        <v>70</v>
      </c>
      <c r="F133" s="379">
        <f>AVERAGE(F126:F131)</f>
        <v>0.47295131932486872</v>
      </c>
    </row>
    <row r="134" spans="1:9" ht="27" customHeight="1" thickBot="1" x14ac:dyDescent="0.45">
      <c r="A134" s="233" t="s">
        <v>102</v>
      </c>
      <c r="B134" s="383">
        <f>(B133/B132)*(B131/B130)*(B129/B128)*(B127/B126)*B125</f>
        <v>4000</v>
      </c>
      <c r="C134" s="284"/>
      <c r="D134" s="285"/>
      <c r="E134" s="354" t="s">
        <v>83</v>
      </c>
      <c r="F134" s="380">
        <f>STDEV(F126:F131)/F133</f>
        <v>0.23005773279697117</v>
      </c>
    </row>
    <row r="135" spans="1:9" ht="27" customHeight="1" thickBot="1" x14ac:dyDescent="0.45">
      <c r="A135" s="484" t="s">
        <v>77</v>
      </c>
      <c r="B135" s="488"/>
      <c r="C135" s="287"/>
      <c r="D135" s="288"/>
      <c r="E135" s="289" t="s">
        <v>19</v>
      </c>
      <c r="F135" s="381">
        <f>COUNT(F126:F131)</f>
        <v>6</v>
      </c>
      <c r="I135" s="271"/>
    </row>
    <row r="136" spans="1:9" ht="19.5" customHeight="1" thickBot="1" x14ac:dyDescent="0.35">
      <c r="A136" s="486"/>
      <c r="B136" s="489"/>
      <c r="C136" s="355"/>
      <c r="D136" s="355"/>
      <c r="E136" s="355"/>
      <c r="F136" s="265"/>
      <c r="G136" s="355"/>
      <c r="H136" s="355"/>
    </row>
    <row r="137" spans="1:9" ht="18.75" x14ac:dyDescent="0.3">
      <c r="A137" s="230"/>
      <c r="B137" s="230"/>
      <c r="C137" s="355"/>
      <c r="D137" s="355"/>
      <c r="E137" s="355"/>
      <c r="F137" s="265"/>
      <c r="G137" s="355"/>
      <c r="H137" s="355"/>
    </row>
    <row r="138" spans="1:9" ht="26.25" customHeight="1" x14ac:dyDescent="0.4">
      <c r="A138" s="319" t="s">
        <v>129</v>
      </c>
      <c r="B138" s="354" t="s">
        <v>122</v>
      </c>
      <c r="C138" s="491" t="str">
        <f>B20</f>
        <v>Artemether 80mg, Lumefantrine 480mg</v>
      </c>
      <c r="D138" s="491"/>
      <c r="E138" s="355" t="s">
        <v>123</v>
      </c>
      <c r="F138" s="355"/>
      <c r="G138" s="382">
        <f>F133</f>
        <v>0.47295131932486872</v>
      </c>
      <c r="H138" s="355"/>
    </row>
    <row r="139" spans="1:9" ht="19.5" customHeight="1" thickBot="1" x14ac:dyDescent="0.35">
      <c r="A139" s="391"/>
      <c r="B139" s="391"/>
      <c r="C139" s="305"/>
      <c r="D139" s="305"/>
      <c r="E139" s="305"/>
      <c r="F139" s="305"/>
      <c r="G139" s="305"/>
      <c r="H139" s="305"/>
    </row>
    <row r="140" spans="1:9" ht="18.75" x14ac:dyDescent="0.3">
      <c r="B140" s="483" t="s">
        <v>25</v>
      </c>
      <c r="C140" s="483"/>
      <c r="E140" s="388" t="s">
        <v>26</v>
      </c>
      <c r="F140" s="318"/>
      <c r="G140" s="483" t="s">
        <v>27</v>
      </c>
      <c r="H140" s="483"/>
    </row>
    <row r="141" spans="1:9" ht="42.75" customHeight="1" x14ac:dyDescent="0.3">
      <c r="A141" s="319" t="s">
        <v>28</v>
      </c>
      <c r="B141" s="352"/>
      <c r="C141" s="352"/>
      <c r="E141" s="316"/>
      <c r="F141" s="355"/>
      <c r="G141" s="316"/>
      <c r="H141" s="316"/>
    </row>
    <row r="142" spans="1:9" ht="36" customHeight="1" x14ac:dyDescent="0.3">
      <c r="A142" s="319" t="s">
        <v>29</v>
      </c>
      <c r="B142" s="353"/>
      <c r="C142" s="353"/>
      <c r="E142" s="315"/>
      <c r="F142" s="355"/>
      <c r="G142" s="317"/>
      <c r="H142" s="317"/>
    </row>
    <row r="143" spans="1:9" ht="18.75" x14ac:dyDescent="0.3">
      <c r="A143" s="265"/>
      <c r="B143" s="265"/>
      <c r="C143" s="265"/>
      <c r="D143" s="265"/>
      <c r="E143" s="265"/>
      <c r="F143" s="266"/>
      <c r="G143" s="265"/>
      <c r="H143" s="265"/>
    </row>
    <row r="144" spans="1:9" ht="18.75" x14ac:dyDescent="0.3">
      <c r="A144" s="265"/>
      <c r="B144" s="265"/>
      <c r="C144" s="265"/>
      <c r="D144" s="265"/>
      <c r="E144" s="265"/>
      <c r="F144" s="266"/>
      <c r="G144" s="265"/>
      <c r="H144" s="265"/>
    </row>
    <row r="145" spans="1:8" ht="18.75" x14ac:dyDescent="0.3">
      <c r="A145" s="265"/>
      <c r="B145" s="265"/>
      <c r="C145" s="265"/>
      <c r="D145" s="265"/>
      <c r="E145" s="265"/>
      <c r="F145" s="266"/>
      <c r="G145" s="265"/>
      <c r="H145" s="265"/>
    </row>
    <row r="146" spans="1:8" ht="18.75" x14ac:dyDescent="0.3">
      <c r="A146" s="265"/>
      <c r="B146" s="265"/>
      <c r="C146" s="265"/>
      <c r="D146" s="265"/>
      <c r="E146" s="265"/>
      <c r="F146" s="266"/>
      <c r="G146" s="265"/>
      <c r="H146" s="265"/>
    </row>
    <row r="147" spans="1:8" ht="18.75" x14ac:dyDescent="0.3">
      <c r="A147" s="265"/>
      <c r="B147" s="265"/>
      <c r="C147" s="265"/>
      <c r="D147" s="265"/>
      <c r="E147" s="265"/>
      <c r="F147" s="266"/>
      <c r="G147" s="265"/>
      <c r="H147" s="265"/>
    </row>
    <row r="148" spans="1:8" ht="18.75" x14ac:dyDescent="0.3">
      <c r="A148" s="265"/>
      <c r="B148" s="265"/>
      <c r="C148" s="265"/>
      <c r="D148" s="265"/>
      <c r="E148" s="265"/>
      <c r="F148" s="266"/>
      <c r="G148" s="265"/>
      <c r="H148" s="265"/>
    </row>
    <row r="149" spans="1:8" ht="18.75" x14ac:dyDescent="0.3">
      <c r="A149" s="265"/>
      <c r="B149" s="265"/>
      <c r="C149" s="265"/>
      <c r="D149" s="265"/>
      <c r="E149" s="265"/>
      <c r="F149" s="266"/>
      <c r="G149" s="265"/>
      <c r="H149" s="265"/>
    </row>
    <row r="150" spans="1:8" ht="18.75" x14ac:dyDescent="0.3">
      <c r="A150" s="265"/>
      <c r="B150" s="265"/>
      <c r="C150" s="265"/>
      <c r="D150" s="265"/>
      <c r="E150" s="265"/>
      <c r="F150" s="266"/>
      <c r="G150" s="265"/>
      <c r="H150" s="265"/>
    </row>
    <row r="151" spans="1:8" ht="18.75" x14ac:dyDescent="0.3">
      <c r="A151" s="265"/>
      <c r="B151" s="265"/>
      <c r="C151" s="265"/>
      <c r="D151" s="265"/>
      <c r="E151" s="265"/>
      <c r="F151" s="266"/>
      <c r="G151" s="265"/>
      <c r="H151" s="265"/>
    </row>
    <row r="250" spans="1:1" x14ac:dyDescent="0.25">
      <c r="A250" s="326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B21:H21"/>
    <mergeCell ref="A1:H7"/>
    <mergeCell ref="A8:H14"/>
    <mergeCell ref="A16:H16"/>
    <mergeCell ref="B18:C18"/>
    <mergeCell ref="B20:C20"/>
    <mergeCell ref="B26:C26"/>
    <mergeCell ref="C29:G29"/>
    <mergeCell ref="C31:H31"/>
    <mergeCell ref="C32:H32"/>
    <mergeCell ref="D36:E36"/>
    <mergeCell ref="F36:G36"/>
    <mergeCell ref="F90:G90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80:C80"/>
    <mergeCell ref="C83:G83"/>
    <mergeCell ref="C85:H85"/>
    <mergeCell ref="C86:H86"/>
    <mergeCell ref="G140:H140"/>
    <mergeCell ref="A100:B101"/>
    <mergeCell ref="A118:B119"/>
    <mergeCell ref="C121:D121"/>
    <mergeCell ref="A135:B136"/>
    <mergeCell ref="C138:D138"/>
    <mergeCell ref="B140:C140"/>
  </mergeCells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&amp;LNQCL/ADDO/014&amp;C&amp;P of &amp;N&amp;R&amp;D &amp;T</oddFooter>
  </headerFooter>
  <rowBreaks count="1" manualBreakCount="1">
    <brk id="121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18" zoomScale="60" zoomScaleNormal="75" zoomScalePageLayoutView="55" workbookViewId="0">
      <selection activeCell="B20" sqref="B20: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514" t="s">
        <v>44</v>
      </c>
      <c r="B1" s="514"/>
      <c r="C1" s="514"/>
      <c r="D1" s="514"/>
      <c r="E1" s="514"/>
      <c r="F1" s="514"/>
      <c r="G1" s="514"/>
      <c r="H1" s="514"/>
    </row>
    <row r="2" spans="1:8" x14ac:dyDescent="0.25">
      <c r="A2" s="514"/>
      <c r="B2" s="514"/>
      <c r="C2" s="514"/>
      <c r="D2" s="514"/>
      <c r="E2" s="514"/>
      <c r="F2" s="514"/>
      <c r="G2" s="514"/>
      <c r="H2" s="514"/>
    </row>
    <row r="3" spans="1:8" x14ac:dyDescent="0.25">
      <c r="A3" s="514"/>
      <c r="B3" s="514"/>
      <c r="C3" s="514"/>
      <c r="D3" s="514"/>
      <c r="E3" s="514"/>
      <c r="F3" s="514"/>
      <c r="G3" s="514"/>
      <c r="H3" s="514"/>
    </row>
    <row r="4" spans="1:8" x14ac:dyDescent="0.25">
      <c r="A4" s="514"/>
      <c r="B4" s="514"/>
      <c r="C4" s="514"/>
      <c r="D4" s="514"/>
      <c r="E4" s="514"/>
      <c r="F4" s="514"/>
      <c r="G4" s="514"/>
      <c r="H4" s="514"/>
    </row>
    <row r="5" spans="1:8" x14ac:dyDescent="0.25">
      <c r="A5" s="514"/>
      <c r="B5" s="514"/>
      <c r="C5" s="514"/>
      <c r="D5" s="514"/>
      <c r="E5" s="514"/>
      <c r="F5" s="514"/>
      <c r="G5" s="514"/>
      <c r="H5" s="514"/>
    </row>
    <row r="6" spans="1:8" x14ac:dyDescent="0.25">
      <c r="A6" s="514"/>
      <c r="B6" s="514"/>
      <c r="C6" s="514"/>
      <c r="D6" s="514"/>
      <c r="E6" s="514"/>
      <c r="F6" s="514"/>
      <c r="G6" s="514"/>
      <c r="H6" s="514"/>
    </row>
    <row r="7" spans="1:8" x14ac:dyDescent="0.25">
      <c r="A7" s="514"/>
      <c r="B7" s="514"/>
      <c r="C7" s="514"/>
      <c r="D7" s="514"/>
      <c r="E7" s="514"/>
      <c r="F7" s="514"/>
      <c r="G7" s="514"/>
      <c r="H7" s="514"/>
    </row>
    <row r="8" spans="1:8" x14ac:dyDescent="0.25">
      <c r="A8" s="515" t="s">
        <v>45</v>
      </c>
      <c r="B8" s="515"/>
      <c r="C8" s="515"/>
      <c r="D8" s="515"/>
      <c r="E8" s="515"/>
      <c r="F8" s="515"/>
      <c r="G8" s="515"/>
      <c r="H8" s="515"/>
    </row>
    <row r="9" spans="1:8" x14ac:dyDescent="0.25">
      <c r="A9" s="515"/>
      <c r="B9" s="515"/>
      <c r="C9" s="515"/>
      <c r="D9" s="515"/>
      <c r="E9" s="515"/>
      <c r="F9" s="515"/>
      <c r="G9" s="515"/>
      <c r="H9" s="515"/>
    </row>
    <row r="10" spans="1:8" x14ac:dyDescent="0.25">
      <c r="A10" s="515"/>
      <c r="B10" s="515"/>
      <c r="C10" s="515"/>
      <c r="D10" s="515"/>
      <c r="E10" s="515"/>
      <c r="F10" s="515"/>
      <c r="G10" s="515"/>
      <c r="H10" s="515"/>
    </row>
    <row r="11" spans="1:8" x14ac:dyDescent="0.25">
      <c r="A11" s="515"/>
      <c r="B11" s="515"/>
      <c r="C11" s="515"/>
      <c r="D11" s="515"/>
      <c r="E11" s="515"/>
      <c r="F11" s="515"/>
      <c r="G11" s="515"/>
      <c r="H11" s="515"/>
    </row>
    <row r="12" spans="1:8" x14ac:dyDescent="0.25">
      <c r="A12" s="515"/>
      <c r="B12" s="515"/>
      <c r="C12" s="515"/>
      <c r="D12" s="515"/>
      <c r="E12" s="515"/>
      <c r="F12" s="515"/>
      <c r="G12" s="515"/>
      <c r="H12" s="515"/>
    </row>
    <row r="13" spans="1:8" x14ac:dyDescent="0.25">
      <c r="A13" s="515"/>
      <c r="B13" s="515"/>
      <c r="C13" s="515"/>
      <c r="D13" s="515"/>
      <c r="E13" s="515"/>
      <c r="F13" s="515"/>
      <c r="G13" s="515"/>
      <c r="H13" s="515"/>
    </row>
    <row r="14" spans="1:8" x14ac:dyDescent="0.25">
      <c r="A14" s="515"/>
      <c r="B14" s="515"/>
      <c r="C14" s="515"/>
      <c r="D14" s="515"/>
      <c r="E14" s="515"/>
      <c r="F14" s="515"/>
      <c r="G14" s="515"/>
      <c r="H14" s="515"/>
    </row>
    <row r="15" spans="1:8" ht="19.5" customHeight="1" x14ac:dyDescent="0.25"/>
    <row r="16" spans="1:8" ht="19.5" customHeight="1" x14ac:dyDescent="0.25">
      <c r="A16" s="516" t="s">
        <v>30</v>
      </c>
      <c r="B16" s="517"/>
      <c r="C16" s="517"/>
      <c r="D16" s="517"/>
      <c r="E16" s="517"/>
      <c r="F16" s="517"/>
      <c r="G16" s="517"/>
      <c r="H16" s="518"/>
    </row>
    <row r="17" spans="1:13" ht="18.75" x14ac:dyDescent="0.3">
      <c r="A17" s="213" t="s">
        <v>46</v>
      </c>
      <c r="B17" s="213"/>
    </row>
    <row r="18" spans="1:13" ht="26.25" x14ac:dyDescent="0.4">
      <c r="A18" s="215" t="s">
        <v>32</v>
      </c>
      <c r="B18" s="519" t="s">
        <v>5</v>
      </c>
      <c r="C18" s="519"/>
      <c r="D18" s="198"/>
      <c r="E18" s="55"/>
      <c r="F18" s="212"/>
      <c r="G18" s="212"/>
      <c r="H18" s="212"/>
    </row>
    <row r="19" spans="1:13" ht="26.25" x14ac:dyDescent="0.4">
      <c r="A19" s="215" t="s">
        <v>33</v>
      </c>
      <c r="B19" s="209" t="s">
        <v>7</v>
      </c>
      <c r="C19" s="212">
        <v>15</v>
      </c>
      <c r="D19" s="212"/>
      <c r="E19" s="212"/>
      <c r="F19" s="212"/>
      <c r="G19" s="212"/>
      <c r="H19" s="212"/>
    </row>
    <row r="20" spans="1:13" ht="26.25" x14ac:dyDescent="0.4">
      <c r="A20" s="215" t="s">
        <v>34</v>
      </c>
      <c r="B20" s="513" t="s">
        <v>9</v>
      </c>
      <c r="C20" s="513"/>
      <c r="D20" s="212"/>
      <c r="E20" s="212"/>
      <c r="F20" s="212"/>
      <c r="G20" s="212"/>
      <c r="H20" s="212"/>
    </row>
    <row r="21" spans="1:13" ht="26.25" x14ac:dyDescent="0.4">
      <c r="A21" s="215" t="s">
        <v>35</v>
      </c>
      <c r="B21" s="513" t="s">
        <v>11</v>
      </c>
      <c r="C21" s="513"/>
      <c r="D21" s="513"/>
      <c r="E21" s="513"/>
      <c r="F21" s="513"/>
      <c r="G21" s="513"/>
      <c r="H21" s="513"/>
    </row>
    <row r="22" spans="1:13" ht="18.75" x14ac:dyDescent="0.3">
      <c r="A22" s="215" t="s">
        <v>36</v>
      </c>
      <c r="B22" s="306" t="str">
        <f>'ARTEMETHER 1'!B22</f>
        <v>29th DEC 2015</v>
      </c>
    </row>
    <row r="23" spans="1:13" ht="18.75" x14ac:dyDescent="0.3">
      <c r="A23" s="215" t="s">
        <v>37</v>
      </c>
      <c r="B23" s="306" t="str">
        <f>'ARTEMETHER 1'!B23</f>
        <v>4TH Dec 2015</v>
      </c>
    </row>
    <row r="24" spans="1:13" ht="18.75" x14ac:dyDescent="0.3">
      <c r="A24" s="215"/>
      <c r="B24" s="218"/>
    </row>
    <row r="25" spans="1:13" ht="18.75" x14ac:dyDescent="0.3">
      <c r="A25" s="219" t="s">
        <v>1</v>
      </c>
      <c r="B25" s="218"/>
    </row>
    <row r="26" spans="1:13" ht="26.25" customHeight="1" x14ac:dyDescent="0.4">
      <c r="A26" s="220" t="s">
        <v>4</v>
      </c>
      <c r="B26" s="505" t="s">
        <v>135</v>
      </c>
      <c r="C26" s="505"/>
    </row>
    <row r="27" spans="1:13" ht="26.25" customHeight="1" x14ac:dyDescent="0.4">
      <c r="A27" s="222" t="s">
        <v>47</v>
      </c>
      <c r="B27" s="357" t="s">
        <v>124</v>
      </c>
    </row>
    <row r="28" spans="1:13" ht="27" customHeight="1" x14ac:dyDescent="0.4">
      <c r="A28" s="222" t="s">
        <v>6</v>
      </c>
      <c r="B28" s="358">
        <v>99.8</v>
      </c>
    </row>
    <row r="29" spans="1:13" s="3" customFormat="1" ht="27" customHeight="1" x14ac:dyDescent="0.4">
      <c r="A29" s="222" t="s">
        <v>48</v>
      </c>
      <c r="B29" s="357">
        <v>0</v>
      </c>
      <c r="C29" s="506" t="s">
        <v>49</v>
      </c>
      <c r="D29" s="507"/>
      <c r="E29" s="507"/>
      <c r="F29" s="507"/>
      <c r="G29" s="508"/>
      <c r="I29" s="224"/>
      <c r="J29" s="224"/>
      <c r="K29" s="224"/>
    </row>
    <row r="30" spans="1:13" s="3" customFormat="1" ht="19.5" customHeight="1" x14ac:dyDescent="0.3">
      <c r="A30" s="222" t="s">
        <v>50</v>
      </c>
      <c r="B30" s="221">
        <f>B28-B29</f>
        <v>99.8</v>
      </c>
      <c r="C30" s="225"/>
      <c r="D30" s="225"/>
      <c r="E30" s="225"/>
      <c r="F30" s="225"/>
      <c r="G30" s="226"/>
      <c r="I30" s="224"/>
      <c r="J30" s="224"/>
      <c r="K30" s="224"/>
    </row>
    <row r="31" spans="1:13" s="3" customFormat="1" ht="27" customHeight="1" x14ac:dyDescent="0.4">
      <c r="A31" s="222" t="s">
        <v>51</v>
      </c>
      <c r="B31" s="359">
        <v>1</v>
      </c>
      <c r="C31" s="509" t="s">
        <v>52</v>
      </c>
      <c r="D31" s="510"/>
      <c r="E31" s="510"/>
      <c r="F31" s="510"/>
      <c r="G31" s="510"/>
      <c r="H31" s="511"/>
      <c r="I31" s="224"/>
      <c r="J31" s="224"/>
      <c r="K31" s="224"/>
    </row>
    <row r="32" spans="1:13" s="3" customFormat="1" ht="27" customHeight="1" x14ac:dyDescent="0.4">
      <c r="A32" s="222" t="s">
        <v>53</v>
      </c>
      <c r="B32" s="359">
        <v>1</v>
      </c>
      <c r="C32" s="509" t="s">
        <v>54</v>
      </c>
      <c r="D32" s="510"/>
      <c r="E32" s="510"/>
      <c r="F32" s="510"/>
      <c r="G32" s="510"/>
      <c r="H32" s="511"/>
      <c r="I32" s="224"/>
      <c r="J32" s="224"/>
      <c r="K32" s="228"/>
      <c r="L32" s="228"/>
      <c r="M32" s="229"/>
    </row>
    <row r="33" spans="1:13" s="3" customFormat="1" ht="17.25" customHeight="1" x14ac:dyDescent="0.3">
      <c r="A33" s="222"/>
      <c r="B33" s="227"/>
      <c r="C33" s="230"/>
      <c r="D33" s="230"/>
      <c r="E33" s="230"/>
      <c r="F33" s="230"/>
      <c r="G33" s="230"/>
      <c r="H33" s="230"/>
      <c r="I33" s="224"/>
      <c r="J33" s="224"/>
      <c r="K33" s="228"/>
      <c r="L33" s="228"/>
      <c r="M33" s="229"/>
    </row>
    <row r="34" spans="1:13" s="3" customFormat="1" ht="18.75" x14ac:dyDescent="0.3">
      <c r="A34" s="222" t="s">
        <v>55</v>
      </c>
      <c r="B34" s="231">
        <f>B31/B32</f>
        <v>1</v>
      </c>
      <c r="C34" s="214" t="s">
        <v>56</v>
      </c>
      <c r="D34" s="214"/>
      <c r="E34" s="214"/>
      <c r="F34" s="214"/>
      <c r="G34" s="214"/>
      <c r="I34" s="224"/>
      <c r="J34" s="224"/>
      <c r="K34" s="228"/>
      <c r="L34" s="228"/>
      <c r="M34" s="229"/>
    </row>
    <row r="35" spans="1:13" s="3" customFormat="1" ht="19.5" customHeight="1" x14ac:dyDescent="0.3">
      <c r="A35" s="222"/>
      <c r="B35" s="221"/>
      <c r="G35" s="214"/>
      <c r="I35" s="224"/>
      <c r="J35" s="224"/>
      <c r="K35" s="228"/>
      <c r="L35" s="228"/>
      <c r="M35" s="229"/>
    </row>
    <row r="36" spans="1:13" s="3" customFormat="1" ht="27" customHeight="1" x14ac:dyDescent="0.4">
      <c r="A36" s="232" t="s">
        <v>125</v>
      </c>
      <c r="B36" s="360">
        <v>100</v>
      </c>
      <c r="C36" s="214"/>
      <c r="D36" s="492" t="s">
        <v>58</v>
      </c>
      <c r="E36" s="512"/>
      <c r="F36" s="492" t="s">
        <v>59</v>
      </c>
      <c r="G36" s="493"/>
      <c r="I36" s="224"/>
      <c r="J36" s="224"/>
      <c r="K36" s="228"/>
      <c r="L36" s="228"/>
      <c r="M36" s="229"/>
    </row>
    <row r="37" spans="1:13" s="3" customFormat="1" ht="26.25" customHeight="1" x14ac:dyDescent="0.4">
      <c r="A37" s="233" t="s">
        <v>60</v>
      </c>
      <c r="B37" s="361">
        <v>1</v>
      </c>
      <c r="C37" s="235" t="s">
        <v>126</v>
      </c>
      <c r="D37" s="236" t="s">
        <v>62</v>
      </c>
      <c r="E37" s="293" t="s">
        <v>63</v>
      </c>
      <c r="F37" s="236" t="s">
        <v>62</v>
      </c>
      <c r="G37" s="237" t="s">
        <v>63</v>
      </c>
      <c r="I37" s="224"/>
      <c r="J37" s="224"/>
      <c r="K37" s="228"/>
      <c r="L37" s="228"/>
      <c r="M37" s="229"/>
    </row>
    <row r="38" spans="1:13" s="3" customFormat="1" ht="26.25" customHeight="1" x14ac:dyDescent="0.4">
      <c r="A38" s="233" t="s">
        <v>65</v>
      </c>
      <c r="B38" s="361">
        <v>1</v>
      </c>
      <c r="C38" s="238">
        <v>1</v>
      </c>
      <c r="D38" s="385">
        <v>2445795</v>
      </c>
      <c r="E38" s="307">
        <f>IF(ISBLANK(D38),"-",$D$48/$D$45*D38)</f>
        <v>2246284.5030115223</v>
      </c>
      <c r="F38" s="362">
        <v>2363403</v>
      </c>
      <c r="G38" s="310">
        <f>IF(ISBLANK(F38),"-",$D$48/$F$45*F38)</f>
        <v>2247877.8154315273</v>
      </c>
      <c r="I38" s="224"/>
      <c r="J38" s="224"/>
      <c r="K38" s="228"/>
      <c r="L38" s="228"/>
      <c r="M38" s="229"/>
    </row>
    <row r="39" spans="1:13" s="3" customFormat="1" ht="26.25" customHeight="1" x14ac:dyDescent="0.4">
      <c r="A39" s="233" t="s">
        <v>66</v>
      </c>
      <c r="B39" s="361">
        <v>1</v>
      </c>
      <c r="C39" s="234">
        <v>2</v>
      </c>
      <c r="D39" s="385">
        <v>2453895</v>
      </c>
      <c r="E39" s="308">
        <f>IF(ISBLANK(D39),"-",$D$48/$D$45*D39)</f>
        <v>2253723.7628327231</v>
      </c>
      <c r="F39" s="362">
        <v>2367855</v>
      </c>
      <c r="G39" s="311">
        <f>IF(ISBLANK(F39),"-",$D$48/$F$45*F39)</f>
        <v>2252112.1978175617</v>
      </c>
      <c r="I39" s="224"/>
      <c r="J39" s="224"/>
      <c r="K39" s="228"/>
      <c r="L39" s="228"/>
      <c r="M39" s="229"/>
    </row>
    <row r="40" spans="1:13" ht="26.25" customHeight="1" x14ac:dyDescent="0.4">
      <c r="A40" s="233" t="s">
        <v>67</v>
      </c>
      <c r="B40" s="361">
        <v>1</v>
      </c>
      <c r="C40" s="234">
        <v>3</v>
      </c>
      <c r="D40" s="385">
        <v>2446125</v>
      </c>
      <c r="E40" s="308">
        <f>IF(ISBLANK(D40),"-",$D$48/$D$45*D40)</f>
        <v>2246587.5839672009</v>
      </c>
      <c r="F40" s="362">
        <v>2364427</v>
      </c>
      <c r="G40" s="311">
        <f>IF(ISBLANK(F40),"-",$D$48/$F$45*F40)</f>
        <v>2248851.7614250807</v>
      </c>
      <c r="K40" s="228"/>
      <c r="L40" s="228"/>
      <c r="M40" s="240"/>
    </row>
    <row r="41" spans="1:13" ht="26.25" customHeight="1" x14ac:dyDescent="0.4">
      <c r="A41" s="233" t="s">
        <v>68</v>
      </c>
      <c r="B41" s="361">
        <v>1</v>
      </c>
      <c r="C41" s="241">
        <v>4</v>
      </c>
      <c r="D41" s="364">
        <v>2434205</v>
      </c>
      <c r="E41" s="309">
        <f>IF(ISBLANK(D41),"-",$D$48/$D$45*D41)</f>
        <v>2235639.9324772367</v>
      </c>
      <c r="F41" s="364">
        <v>2353511</v>
      </c>
      <c r="G41" s="312">
        <f>IF(ISBLANK(F41),"-",$D$48/$F$45*F41)</f>
        <v>2238469.3449547407</v>
      </c>
      <c r="K41" s="228"/>
      <c r="L41" s="228"/>
      <c r="M41" s="240"/>
    </row>
    <row r="42" spans="1:13" ht="27" customHeight="1" thickBot="1" x14ac:dyDescent="0.45">
      <c r="A42" s="233" t="s">
        <v>69</v>
      </c>
      <c r="B42" s="361">
        <v>1</v>
      </c>
      <c r="C42" s="243" t="s">
        <v>70</v>
      </c>
      <c r="D42" s="244">
        <f>AVERAGE(D38:D41)</f>
        <v>2445005</v>
      </c>
      <c r="E42" s="268">
        <f>AVERAGE(E38:E41)</f>
        <v>2245558.9455721704</v>
      </c>
      <c r="F42" s="244">
        <f>AVERAGE(F38:F41)</f>
        <v>2362299</v>
      </c>
      <c r="G42" s="245">
        <f>AVERAGE(G38:G41)</f>
        <v>2246827.7799072275</v>
      </c>
      <c r="H42" s="327"/>
    </row>
    <row r="43" spans="1:13" ht="26.25" customHeight="1" x14ac:dyDescent="0.4">
      <c r="A43" s="233" t="s">
        <v>71</v>
      </c>
      <c r="B43" s="358">
        <v>1</v>
      </c>
      <c r="C43" s="340" t="s">
        <v>112</v>
      </c>
      <c r="D43" s="365">
        <v>21.82</v>
      </c>
      <c r="E43" s="355"/>
      <c r="F43" s="365">
        <v>21.07</v>
      </c>
      <c r="G43" s="326"/>
      <c r="H43" s="327"/>
    </row>
    <row r="44" spans="1:13" ht="26.25" customHeight="1" x14ac:dyDescent="0.4">
      <c r="A44" s="233" t="s">
        <v>73</v>
      </c>
      <c r="B44" s="358">
        <v>1</v>
      </c>
      <c r="C44" s="341" t="s">
        <v>113</v>
      </c>
      <c r="D44" s="342">
        <f>D43*$B$34</f>
        <v>21.82</v>
      </c>
      <c r="E44" s="247"/>
      <c r="F44" s="246">
        <f>F43*$B$34</f>
        <v>21.07</v>
      </c>
      <c r="H44" s="327"/>
    </row>
    <row r="45" spans="1:13" ht="19.5" customHeight="1" x14ac:dyDescent="0.3">
      <c r="A45" s="233" t="s">
        <v>75</v>
      </c>
      <c r="B45" s="339">
        <f>(B44/B43)*(B42/B41)*(B40/B39)*(B38/B37)*B36</f>
        <v>100</v>
      </c>
      <c r="C45" s="341" t="s">
        <v>76</v>
      </c>
      <c r="D45" s="343">
        <f>D44*$B$30/100</f>
        <v>21.77636</v>
      </c>
      <c r="E45" s="249"/>
      <c r="F45" s="248">
        <f>F44*$B$30/100</f>
        <v>21.02786</v>
      </c>
      <c r="H45" s="327"/>
    </row>
    <row r="46" spans="1:13" ht="19.5" customHeight="1" x14ac:dyDescent="0.3">
      <c r="A46" s="484" t="s">
        <v>77</v>
      </c>
      <c r="B46" s="485"/>
      <c r="C46" s="341" t="s">
        <v>78</v>
      </c>
      <c r="D46" s="342">
        <f>D45/$B$45</f>
        <v>0.2177636</v>
      </c>
      <c r="E46" s="249"/>
      <c r="F46" s="250">
        <f>F45/$B$45</f>
        <v>0.21027860000000001</v>
      </c>
      <c r="H46" s="327"/>
    </row>
    <row r="47" spans="1:13" ht="27" customHeight="1" x14ac:dyDescent="0.4">
      <c r="A47" s="486"/>
      <c r="B47" s="487"/>
      <c r="C47" s="341" t="s">
        <v>127</v>
      </c>
      <c r="D47" s="366">
        <v>0.2</v>
      </c>
      <c r="F47" s="252"/>
      <c r="H47" s="327"/>
    </row>
    <row r="48" spans="1:13" ht="18.75" x14ac:dyDescent="0.3">
      <c r="C48" s="341" t="s">
        <v>80</v>
      </c>
      <c r="D48" s="342">
        <f>D47*$B$45</f>
        <v>20</v>
      </c>
      <c r="F48" s="252"/>
      <c r="H48" s="327"/>
    </row>
    <row r="49" spans="1:11" ht="19.5" customHeight="1" x14ac:dyDescent="0.3">
      <c r="C49" s="344" t="s">
        <v>81</v>
      </c>
      <c r="D49" s="345">
        <f>D48/B34</f>
        <v>20</v>
      </c>
      <c r="F49" s="255"/>
      <c r="H49" s="327"/>
    </row>
    <row r="50" spans="1:11" ht="18.75" x14ac:dyDescent="0.3">
      <c r="C50" s="346" t="s">
        <v>82</v>
      </c>
      <c r="D50" s="347">
        <f>AVERAGE(E38:E41,G38:G41)</f>
        <v>2246193.362739699</v>
      </c>
      <c r="F50" s="255"/>
      <c r="H50" s="327"/>
    </row>
    <row r="51" spans="1:11" ht="18.75" x14ac:dyDescent="0.3">
      <c r="C51" s="251" t="s">
        <v>83</v>
      </c>
      <c r="D51" s="256">
        <f>STDEV(E38:E41,G38:G41)/D50</f>
        <v>2.7794591369649192E-3</v>
      </c>
      <c r="F51" s="255"/>
    </row>
    <row r="52" spans="1:11" ht="19.5" customHeight="1" x14ac:dyDescent="0.3">
      <c r="C52" s="253" t="s">
        <v>19</v>
      </c>
      <c r="D52" s="257">
        <f>COUNT(E38:E41,G38:G41)</f>
        <v>8</v>
      </c>
      <c r="F52" s="255"/>
    </row>
    <row r="54" spans="1:11" ht="18.75" x14ac:dyDescent="0.3">
      <c r="A54" s="213" t="s">
        <v>1</v>
      </c>
      <c r="B54" s="258" t="s">
        <v>84</v>
      </c>
    </row>
    <row r="55" spans="1:11" ht="18.75" x14ac:dyDescent="0.3">
      <c r="A55" s="214" t="s">
        <v>85</v>
      </c>
      <c r="B55" s="217" t="str">
        <f>B21</f>
        <v>Each film coated tablet contains:
Artemether 80 mg
Lumefantrine 480 mg</v>
      </c>
    </row>
    <row r="56" spans="1:11" ht="26.25" customHeight="1" x14ac:dyDescent="0.4">
      <c r="A56" s="216" t="s">
        <v>86</v>
      </c>
      <c r="B56" s="357">
        <v>80</v>
      </c>
      <c r="C56" s="214" t="str">
        <f>B20</f>
        <v>Artemether 80mg, Lumefantrine 480mg</v>
      </c>
      <c r="H56" s="223"/>
    </row>
    <row r="57" spans="1:11" ht="18.75" x14ac:dyDescent="0.3">
      <c r="A57" s="217" t="s">
        <v>87</v>
      </c>
      <c r="B57" s="384">
        <f>Uniformity!C46</f>
        <v>819.76850000000036</v>
      </c>
      <c r="H57" s="223"/>
    </row>
    <row r="58" spans="1:11" ht="19.5" customHeight="1" x14ac:dyDescent="0.3">
      <c r="H58" s="223"/>
    </row>
    <row r="59" spans="1:11" s="3" customFormat="1" ht="27" customHeight="1" thickBot="1" x14ac:dyDescent="0.45">
      <c r="A59" s="232" t="s">
        <v>128</v>
      </c>
      <c r="B59" s="360">
        <v>100</v>
      </c>
      <c r="C59" s="214"/>
      <c r="D59" s="260" t="s">
        <v>89</v>
      </c>
      <c r="E59" s="259" t="s">
        <v>61</v>
      </c>
      <c r="F59" s="259" t="s">
        <v>62</v>
      </c>
      <c r="G59" s="259" t="s">
        <v>90</v>
      </c>
      <c r="H59" s="235" t="s">
        <v>91</v>
      </c>
      <c r="K59" s="224"/>
    </row>
    <row r="60" spans="1:11" s="3" customFormat="1" ht="22.5" customHeight="1" x14ac:dyDescent="0.4">
      <c r="A60" s="233" t="s">
        <v>121</v>
      </c>
      <c r="B60" s="361">
        <v>1</v>
      </c>
      <c r="C60" s="494" t="s">
        <v>93</v>
      </c>
      <c r="D60" s="497">
        <v>206.02</v>
      </c>
      <c r="E60" s="261">
        <v>1</v>
      </c>
      <c r="F60" s="368">
        <v>2315753</v>
      </c>
      <c r="G60" s="297">
        <f>IF(ISBLANK(F60),"-",(F60/$D$50*$D$47*$B$68)*($B$57/$D$60))</f>
        <v>82.045909733687452</v>
      </c>
      <c r="H60" s="299">
        <f t="shared" ref="H60:H71" si="0">IF(ISBLANK(F60),"-",G60/$B$56)</f>
        <v>1.0255738716710932</v>
      </c>
      <c r="K60" s="224"/>
    </row>
    <row r="61" spans="1:11" s="3" customFormat="1" ht="26.25" customHeight="1" x14ac:dyDescent="0.4">
      <c r="A61" s="233" t="s">
        <v>94</v>
      </c>
      <c r="B61" s="361">
        <v>1</v>
      </c>
      <c r="C61" s="495"/>
      <c r="D61" s="498"/>
      <c r="E61" s="262">
        <v>2</v>
      </c>
      <c r="F61" s="363">
        <v>2337528</v>
      </c>
      <c r="G61" s="298">
        <f>IF(ISBLANK(F61),"-",(F61/$D$50*$D$47*$B$68)*($B$57/$D$60))</f>
        <v>82.817386520914354</v>
      </c>
      <c r="H61" s="300">
        <f t="shared" si="0"/>
        <v>1.0352173315114295</v>
      </c>
      <c r="K61" s="224"/>
    </row>
    <row r="62" spans="1:11" s="3" customFormat="1" ht="26.25" customHeight="1" x14ac:dyDescent="0.4">
      <c r="A62" s="233" t="s">
        <v>95</v>
      </c>
      <c r="B62" s="361">
        <v>1</v>
      </c>
      <c r="C62" s="495"/>
      <c r="D62" s="498"/>
      <c r="E62" s="262">
        <v>3</v>
      </c>
      <c r="F62" s="125">
        <v>2312598</v>
      </c>
      <c r="G62" s="298">
        <f>IF(ISBLANK(F62),"-",(F62/$D$50*$D$47*$B$68)*($B$57/$D$60))</f>
        <v>81.934129744539334</v>
      </c>
      <c r="H62" s="300">
        <f t="shared" si="0"/>
        <v>1.0241766218067416</v>
      </c>
      <c r="K62" s="224"/>
    </row>
    <row r="63" spans="1:11" ht="21" customHeight="1" thickBot="1" x14ac:dyDescent="0.45">
      <c r="A63" s="233" t="s">
        <v>96</v>
      </c>
      <c r="B63" s="361">
        <v>1</v>
      </c>
      <c r="C63" s="496"/>
      <c r="D63" s="499"/>
      <c r="E63" s="263">
        <v>4</v>
      </c>
      <c r="F63" s="369"/>
      <c r="G63" s="298" t="str">
        <f>IF(ISBLANK(F63),"-",(F63/$D$50*$D$47*$B$68)*($B$57/$D$60))</f>
        <v>-</v>
      </c>
      <c r="H63" s="300" t="str">
        <f t="shared" si="0"/>
        <v>-</v>
      </c>
    </row>
    <row r="64" spans="1:11" ht="26.25" customHeight="1" x14ac:dyDescent="0.4">
      <c r="A64" s="233" t="s">
        <v>97</v>
      </c>
      <c r="B64" s="361">
        <v>1</v>
      </c>
      <c r="C64" s="494" t="s">
        <v>98</v>
      </c>
      <c r="D64" s="497">
        <v>192.06</v>
      </c>
      <c r="E64" s="261">
        <v>1</v>
      </c>
      <c r="F64" s="368">
        <v>2100223</v>
      </c>
      <c r="G64" s="323">
        <f>IF(ISBLANK(F64),"-",(F64/$D$50*$D$47*$B$68)*($B$57/$D$64))</f>
        <v>79.818317329043779</v>
      </c>
      <c r="H64" s="320">
        <f t="shared" si="0"/>
        <v>0.99772896661304722</v>
      </c>
    </row>
    <row r="65" spans="1:8" ht="26.25" customHeight="1" x14ac:dyDescent="0.4">
      <c r="A65" s="233" t="s">
        <v>99</v>
      </c>
      <c r="B65" s="361">
        <v>1</v>
      </c>
      <c r="C65" s="495"/>
      <c r="D65" s="498"/>
      <c r="E65" s="262">
        <v>2</v>
      </c>
      <c r="F65" s="363">
        <v>2098403</v>
      </c>
      <c r="G65" s="324">
        <f>IF(ISBLANK(F65),"-",(F65/$D$50*$D$47*$B$68)*($B$57/$D$64))</f>
        <v>79.749148799064386</v>
      </c>
      <c r="H65" s="321">
        <f t="shared" si="0"/>
        <v>0.9968643599883048</v>
      </c>
    </row>
    <row r="66" spans="1:8" ht="26.25" customHeight="1" x14ac:dyDescent="0.4">
      <c r="A66" s="233" t="s">
        <v>100</v>
      </c>
      <c r="B66" s="361">
        <v>1</v>
      </c>
      <c r="C66" s="495"/>
      <c r="D66" s="498"/>
      <c r="E66" s="262">
        <v>3</v>
      </c>
      <c r="F66" s="363">
        <v>2110308</v>
      </c>
      <c r="G66" s="324">
        <f>IF(ISBLANK(F66),"-",(F66/$D$50*$D$47*$B$68)*($B$57/$D$64))</f>
        <v>80.201594595440426</v>
      </c>
      <c r="H66" s="321">
        <f t="shared" si="0"/>
        <v>1.0025199324430054</v>
      </c>
    </row>
    <row r="67" spans="1:8" ht="21" customHeight="1" thickBot="1" x14ac:dyDescent="0.45">
      <c r="A67" s="233" t="s">
        <v>101</v>
      </c>
      <c r="B67" s="361">
        <v>1</v>
      </c>
      <c r="C67" s="496"/>
      <c r="D67" s="499"/>
      <c r="E67" s="263">
        <v>4</v>
      </c>
      <c r="F67" s="369"/>
      <c r="G67" s="325" t="str">
        <f>IF(ISBLANK(F67),"-",(F67/$D$50*$D$47*$B$68)*($B$57/$D$64))</f>
        <v>-</v>
      </c>
      <c r="H67" s="322" t="str">
        <f t="shared" si="0"/>
        <v>-</v>
      </c>
    </row>
    <row r="68" spans="1:8" ht="21.75" customHeight="1" x14ac:dyDescent="0.4">
      <c r="A68" s="233" t="s">
        <v>102</v>
      </c>
      <c r="B68" s="331">
        <f>(B67/B66)*(B65/B64)*(B63/B62)*(B61/B60)*B59</f>
        <v>100</v>
      </c>
      <c r="C68" s="494" t="s">
        <v>103</v>
      </c>
      <c r="D68" s="497">
        <v>189.95</v>
      </c>
      <c r="E68" s="261">
        <v>1</v>
      </c>
      <c r="F68" s="368"/>
      <c r="G68" s="323" t="str">
        <f>IF(ISBLANK(F68),"-",(F68/$D$50*$D$47*$B$68)*($B$57/$D$68))</f>
        <v>-</v>
      </c>
      <c r="H68" s="300" t="str">
        <f t="shared" si="0"/>
        <v>-</v>
      </c>
    </row>
    <row r="69" spans="1:8" ht="21.75" customHeight="1" thickBot="1" x14ac:dyDescent="0.45">
      <c r="A69" s="348" t="s">
        <v>104</v>
      </c>
      <c r="B69" s="367">
        <f>D47*B68/B56*B57</f>
        <v>204.94212500000009</v>
      </c>
      <c r="C69" s="495"/>
      <c r="D69" s="498"/>
      <c r="E69" s="262">
        <v>2</v>
      </c>
      <c r="F69" s="363"/>
      <c r="G69" s="324" t="str">
        <f>IF(ISBLANK(F69),"-",(F69/$D$50*$D$47*$B$68)*($B$57/$D$68))</f>
        <v>-</v>
      </c>
      <c r="H69" s="300" t="str">
        <f t="shared" si="0"/>
        <v>-</v>
      </c>
    </row>
    <row r="70" spans="1:8" ht="22.5" customHeight="1" x14ac:dyDescent="0.4">
      <c r="A70" s="501" t="s">
        <v>77</v>
      </c>
      <c r="B70" s="502"/>
      <c r="C70" s="495"/>
      <c r="D70" s="498"/>
      <c r="E70" s="262">
        <v>3</v>
      </c>
      <c r="F70" s="363"/>
      <c r="G70" s="324" t="str">
        <f>IF(ISBLANK(F70),"-",(F70/$D$50*$D$47*$B$68)*($B$57/$D$68))</f>
        <v>-</v>
      </c>
      <c r="H70" s="300" t="str">
        <f t="shared" si="0"/>
        <v>-</v>
      </c>
    </row>
    <row r="71" spans="1:8" ht="21.75" customHeight="1" thickBot="1" x14ac:dyDescent="0.45">
      <c r="A71" s="503"/>
      <c r="B71" s="504"/>
      <c r="C71" s="500"/>
      <c r="D71" s="499"/>
      <c r="E71" s="263">
        <v>4</v>
      </c>
      <c r="F71" s="369"/>
      <c r="G71" s="325" t="str">
        <f>IF(ISBLANK(F71),"-",(F71/$D$50*$D$47*$B$68)*($B$57/$D$68))</f>
        <v>-</v>
      </c>
      <c r="H71" s="301" t="str">
        <f t="shared" si="0"/>
        <v>-</v>
      </c>
    </row>
    <row r="72" spans="1:8" ht="26.25" customHeight="1" x14ac:dyDescent="0.4">
      <c r="A72" s="264"/>
      <c r="B72" s="264"/>
      <c r="C72" s="264"/>
      <c r="D72" s="264"/>
      <c r="E72" s="264"/>
      <c r="F72" s="265"/>
      <c r="G72" s="254" t="s">
        <v>70</v>
      </c>
      <c r="H72" s="370">
        <f>AVERAGE(H60:H71)</f>
        <v>1.0136801806722702</v>
      </c>
    </row>
    <row r="73" spans="1:8" ht="26.25" customHeight="1" x14ac:dyDescent="0.4">
      <c r="C73" s="264"/>
      <c r="D73" s="264"/>
      <c r="E73" s="264"/>
      <c r="F73" s="265"/>
      <c r="G73" s="251" t="s">
        <v>83</v>
      </c>
      <c r="H73" s="371">
        <f>STDEV(H60:H71)/H72</f>
        <v>1.6372694299888826E-2</v>
      </c>
    </row>
    <row r="74" spans="1:8" ht="27" customHeight="1" x14ac:dyDescent="0.4">
      <c r="A74" s="264"/>
      <c r="B74" s="264"/>
      <c r="C74" s="265"/>
      <c r="D74" s="265"/>
      <c r="E74" s="266"/>
      <c r="F74" s="265"/>
      <c r="G74" s="253" t="s">
        <v>19</v>
      </c>
      <c r="H74" s="372">
        <f>COUNT(H60:H71)</f>
        <v>6</v>
      </c>
    </row>
    <row r="75" spans="1:8" ht="18.75" x14ac:dyDescent="0.3">
      <c r="A75" s="264"/>
      <c r="B75" s="264"/>
      <c r="C75" s="265"/>
      <c r="D75" s="265"/>
      <c r="E75" s="266"/>
      <c r="F75" s="265"/>
      <c r="G75" s="286"/>
      <c r="H75" s="338"/>
    </row>
    <row r="76" spans="1:8" ht="18.75" x14ac:dyDescent="0.3">
      <c r="A76" s="220" t="s">
        <v>129</v>
      </c>
      <c r="B76" s="354" t="s">
        <v>122</v>
      </c>
      <c r="C76" s="491" t="str">
        <f>B20</f>
        <v>Artemether 80mg, Lumefantrine 480mg</v>
      </c>
      <c r="D76" s="491"/>
      <c r="E76" s="355" t="s">
        <v>107</v>
      </c>
      <c r="F76" s="355"/>
      <c r="G76" s="356">
        <f>H72</f>
        <v>1.0136801806722702</v>
      </c>
      <c r="H76" s="338"/>
    </row>
    <row r="77" spans="1:8" ht="18.75" x14ac:dyDescent="0.3">
      <c r="A77" s="264"/>
      <c r="B77" s="264"/>
      <c r="C77" s="265"/>
      <c r="D77" s="265"/>
      <c r="E77" s="266"/>
      <c r="F77" s="265"/>
      <c r="G77" s="286"/>
      <c r="H77" s="338"/>
    </row>
    <row r="78" spans="1:8" ht="26.25" customHeight="1" x14ac:dyDescent="0.4">
      <c r="A78" s="219" t="s">
        <v>130</v>
      </c>
      <c r="B78" s="219" t="s">
        <v>131</v>
      </c>
      <c r="D78" s="376" t="s">
        <v>132</v>
      </c>
    </row>
    <row r="79" spans="1:8" ht="18.75" x14ac:dyDescent="0.3">
      <c r="A79" s="219"/>
      <c r="B79" s="219"/>
    </row>
    <row r="80" spans="1:8" ht="26.25" customHeight="1" x14ac:dyDescent="0.4">
      <c r="A80" s="220" t="s">
        <v>4</v>
      </c>
      <c r="B80" s="505" t="str">
        <f>B26</f>
        <v>ARTEMETHER</v>
      </c>
      <c r="C80" s="505"/>
    </row>
    <row r="81" spans="1:11" ht="26.25" customHeight="1" x14ac:dyDescent="0.4">
      <c r="A81" s="222" t="s">
        <v>47</v>
      </c>
      <c r="B81" s="357" t="str">
        <f>B27</f>
        <v>F0J018</v>
      </c>
    </row>
    <row r="82" spans="1:11" ht="27" customHeight="1" x14ac:dyDescent="0.4">
      <c r="A82" s="222" t="s">
        <v>6</v>
      </c>
      <c r="B82" s="357">
        <f>B28</f>
        <v>99.8</v>
      </c>
    </row>
    <row r="83" spans="1:11" s="3" customFormat="1" ht="27" customHeight="1" x14ac:dyDescent="0.4">
      <c r="A83" s="222" t="s">
        <v>48</v>
      </c>
      <c r="B83" s="357">
        <f>B29</f>
        <v>0</v>
      </c>
      <c r="C83" s="506" t="s">
        <v>49</v>
      </c>
      <c r="D83" s="507"/>
      <c r="E83" s="507"/>
      <c r="F83" s="507"/>
      <c r="G83" s="508"/>
      <c r="I83" s="224"/>
      <c r="J83" s="224"/>
      <c r="K83" s="224"/>
    </row>
    <row r="84" spans="1:11" s="3" customFormat="1" ht="19.5" customHeight="1" x14ac:dyDescent="0.3">
      <c r="A84" s="222" t="s">
        <v>50</v>
      </c>
      <c r="B84" s="221">
        <f>B82-B83</f>
        <v>99.8</v>
      </c>
      <c r="C84" s="225"/>
      <c r="D84" s="225"/>
      <c r="E84" s="225"/>
      <c r="F84" s="225"/>
      <c r="G84" s="226"/>
      <c r="I84" s="224"/>
      <c r="J84" s="224"/>
      <c r="K84" s="224"/>
    </row>
    <row r="85" spans="1:11" s="3" customFormat="1" ht="27" customHeight="1" x14ac:dyDescent="0.4">
      <c r="A85" s="222" t="s">
        <v>51</v>
      </c>
      <c r="B85" s="359">
        <v>1</v>
      </c>
      <c r="C85" s="509" t="s">
        <v>52</v>
      </c>
      <c r="D85" s="510"/>
      <c r="E85" s="510"/>
      <c r="F85" s="510"/>
      <c r="G85" s="510"/>
      <c r="H85" s="511"/>
      <c r="I85" s="224"/>
      <c r="J85" s="224"/>
      <c r="K85" s="224"/>
    </row>
    <row r="86" spans="1:11" s="3" customFormat="1" ht="27" customHeight="1" x14ac:dyDescent="0.4">
      <c r="A86" s="222" t="s">
        <v>53</v>
      </c>
      <c r="B86" s="359">
        <v>1</v>
      </c>
      <c r="C86" s="509" t="s">
        <v>54</v>
      </c>
      <c r="D86" s="510"/>
      <c r="E86" s="510"/>
      <c r="F86" s="510"/>
      <c r="G86" s="510"/>
      <c r="H86" s="511"/>
      <c r="I86" s="224"/>
      <c r="J86" s="224"/>
      <c r="K86" s="224"/>
    </row>
    <row r="87" spans="1:11" s="3" customFormat="1" ht="18.75" x14ac:dyDescent="0.3">
      <c r="A87" s="222"/>
      <c r="B87" s="221"/>
      <c r="C87" s="225"/>
      <c r="D87" s="225"/>
      <c r="E87" s="225"/>
      <c r="F87" s="225"/>
      <c r="G87" s="226"/>
      <c r="I87" s="224"/>
      <c r="J87" s="224"/>
      <c r="K87" s="224"/>
    </row>
    <row r="88" spans="1:11" s="3" customFormat="1" ht="18.75" x14ac:dyDescent="0.3">
      <c r="A88" s="222" t="s">
        <v>55</v>
      </c>
      <c r="B88" s="231">
        <f>B85/B86</f>
        <v>1</v>
      </c>
      <c r="C88" s="214" t="s">
        <v>56</v>
      </c>
      <c r="D88" s="225"/>
      <c r="E88" s="225"/>
      <c r="F88" s="225"/>
      <c r="G88" s="226"/>
      <c r="I88" s="224"/>
      <c r="J88" s="224"/>
      <c r="K88" s="224"/>
    </row>
    <row r="89" spans="1:11" ht="19.5" customHeight="1" x14ac:dyDescent="0.3">
      <c r="A89" s="219"/>
      <c r="B89" s="219"/>
    </row>
    <row r="90" spans="1:11" ht="27" customHeight="1" x14ac:dyDescent="0.4">
      <c r="A90" s="232" t="s">
        <v>125</v>
      </c>
      <c r="B90" s="360">
        <v>100</v>
      </c>
      <c r="D90" s="295" t="s">
        <v>58</v>
      </c>
      <c r="E90" s="296"/>
      <c r="F90" s="492" t="s">
        <v>59</v>
      </c>
      <c r="G90" s="493"/>
    </row>
    <row r="91" spans="1:11" ht="26.25" customHeight="1" x14ac:dyDescent="0.4">
      <c r="A91" s="233" t="s">
        <v>60</v>
      </c>
      <c r="B91" s="361">
        <v>5</v>
      </c>
      <c r="C91" s="292" t="s">
        <v>126</v>
      </c>
      <c r="D91" s="236" t="s">
        <v>62</v>
      </c>
      <c r="E91" s="293" t="s">
        <v>63</v>
      </c>
      <c r="F91" s="236" t="s">
        <v>62</v>
      </c>
      <c r="G91" s="237" t="s">
        <v>63</v>
      </c>
    </row>
    <row r="92" spans="1:11" ht="26.25" customHeight="1" x14ac:dyDescent="0.4">
      <c r="A92" s="233" t="s">
        <v>65</v>
      </c>
      <c r="B92" s="361">
        <v>50</v>
      </c>
      <c r="C92" s="290">
        <v>1</v>
      </c>
      <c r="D92" s="362">
        <v>972650</v>
      </c>
      <c r="E92" s="307">
        <f>IF(ISBLANK(D92),"-",$D$102/$D$99*D92)</f>
        <v>885999.27126981237</v>
      </c>
      <c r="F92" s="362">
        <v>939657</v>
      </c>
      <c r="G92" s="310">
        <f>IF(ISBLANK(F92),"-",$D$102/$F$99*F92)</f>
        <v>892032.28816704941</v>
      </c>
    </row>
    <row r="93" spans="1:11" ht="26.25" customHeight="1" x14ac:dyDescent="0.4">
      <c r="A93" s="233" t="s">
        <v>66</v>
      </c>
      <c r="B93" s="361">
        <v>1</v>
      </c>
      <c r="C93" s="265">
        <v>2</v>
      </c>
      <c r="D93" s="363">
        <v>976166</v>
      </c>
      <c r="E93" s="308">
        <f>IF(ISBLANK(D93),"-",$D$102/$D$99*D93)</f>
        <v>889202.04044452542</v>
      </c>
      <c r="F93" s="363">
        <v>937045</v>
      </c>
      <c r="G93" s="311">
        <f>IF(ISBLANK(F93),"-",$D$102/$F$99*F93)</f>
        <v>889552.67237459286</v>
      </c>
    </row>
    <row r="94" spans="1:11" ht="26.25" customHeight="1" x14ac:dyDescent="0.4">
      <c r="A94" s="233" t="s">
        <v>67</v>
      </c>
      <c r="B94" s="361">
        <v>1</v>
      </c>
      <c r="C94" s="265">
        <v>3</v>
      </c>
      <c r="D94" s="363">
        <v>973510</v>
      </c>
      <c r="E94" s="308">
        <f>IF(ISBLANK(D94),"-",$D$102/$D$99*D94)</f>
        <v>886782.65622153401</v>
      </c>
      <c r="F94" s="363">
        <v>941323</v>
      </c>
      <c r="G94" s="311">
        <f>IF(ISBLANK(F94),"-",$D$102/$F$99*F94)</f>
        <v>893613.85015412164</v>
      </c>
    </row>
    <row r="95" spans="1:11" ht="26.25" customHeight="1" x14ac:dyDescent="0.4">
      <c r="A95" s="233" t="s">
        <v>68</v>
      </c>
      <c r="B95" s="361">
        <v>1</v>
      </c>
      <c r="C95" s="294">
        <v>4</v>
      </c>
      <c r="D95" s="364"/>
      <c r="E95" s="309" t="str">
        <f>IF(ISBLANK(D95),"-",$D$102/$D$99*D95)</f>
        <v>-</v>
      </c>
      <c r="F95" s="373"/>
      <c r="G95" s="312" t="str">
        <f>IF(ISBLANK(F95),"-",$D$102/$F$99*F95)</f>
        <v>-</v>
      </c>
    </row>
    <row r="96" spans="1:11" ht="27" customHeight="1" x14ac:dyDescent="0.4">
      <c r="A96" s="233" t="s">
        <v>69</v>
      </c>
      <c r="B96" s="361">
        <v>1</v>
      </c>
      <c r="C96" s="286" t="s">
        <v>70</v>
      </c>
      <c r="D96" s="349">
        <f>AVERAGE(D92:D95)</f>
        <v>974108.66666666663</v>
      </c>
      <c r="E96" s="268">
        <f>AVERAGE(E92:E95)</f>
        <v>887327.98931195727</v>
      </c>
      <c r="F96" s="291">
        <f>AVERAGE(F92:F95)</f>
        <v>939341.66666666663</v>
      </c>
      <c r="G96" s="313">
        <f>AVERAGE(G92:G95)</f>
        <v>891732.93689858785</v>
      </c>
    </row>
    <row r="97" spans="1:9" ht="26.25" customHeight="1" x14ac:dyDescent="0.4">
      <c r="A97" s="233" t="s">
        <v>71</v>
      </c>
      <c r="B97" s="358">
        <v>1</v>
      </c>
      <c r="C97" s="340" t="s">
        <v>112</v>
      </c>
      <c r="D97" s="386">
        <v>22</v>
      </c>
      <c r="E97" s="355"/>
      <c r="F97" s="365">
        <v>21.11</v>
      </c>
      <c r="G97" s="326"/>
    </row>
    <row r="98" spans="1:9" ht="26.25" customHeight="1" x14ac:dyDescent="0.4">
      <c r="A98" s="233" t="s">
        <v>73</v>
      </c>
      <c r="B98" s="358">
        <v>1</v>
      </c>
      <c r="C98" s="341" t="s">
        <v>113</v>
      </c>
      <c r="D98" s="342">
        <f>D97*B88</f>
        <v>22</v>
      </c>
      <c r="E98" s="247"/>
      <c r="F98" s="246">
        <f>F97*B88</f>
        <v>21.11</v>
      </c>
    </row>
    <row r="99" spans="1:9" ht="19.5" customHeight="1" x14ac:dyDescent="0.3">
      <c r="A99" s="233" t="s">
        <v>75</v>
      </c>
      <c r="B99" s="339">
        <f>(B98/B97)*(B96/B95)*(B94/B93)*(B92/B91)*B90</f>
        <v>1000</v>
      </c>
      <c r="C99" s="341" t="s">
        <v>76</v>
      </c>
      <c r="D99" s="343">
        <f>D98*$B$84/100</f>
        <v>21.956</v>
      </c>
      <c r="E99" s="249"/>
      <c r="F99" s="248">
        <f>F98*$B$84/100</f>
        <v>21.067779999999999</v>
      </c>
    </row>
    <row r="100" spans="1:9" ht="19.5" customHeight="1" x14ac:dyDescent="0.3">
      <c r="A100" s="484" t="s">
        <v>77</v>
      </c>
      <c r="B100" s="485"/>
      <c r="C100" s="341" t="s">
        <v>78</v>
      </c>
      <c r="D100" s="342">
        <f>D99/$B$99</f>
        <v>2.1956E-2</v>
      </c>
      <c r="E100" s="249"/>
      <c r="F100" s="250">
        <f>F99/$B$99</f>
        <v>2.1067779999999998E-2</v>
      </c>
      <c r="G100" s="326"/>
      <c r="H100" s="327"/>
    </row>
    <row r="101" spans="1:9" ht="19.5" customHeight="1" x14ac:dyDescent="0.3">
      <c r="A101" s="486"/>
      <c r="B101" s="487"/>
      <c r="C101" s="341" t="s">
        <v>127</v>
      </c>
      <c r="D101" s="350">
        <f>$B$56/$B$117</f>
        <v>0.02</v>
      </c>
      <c r="F101" s="252"/>
      <c r="G101" s="328"/>
      <c r="H101" s="327"/>
    </row>
    <row r="102" spans="1:9" ht="18.75" x14ac:dyDescent="0.3">
      <c r="C102" s="341" t="s">
        <v>80</v>
      </c>
      <c r="D102" s="342">
        <f>D101*$B$99</f>
        <v>20</v>
      </c>
      <c r="F102" s="252"/>
      <c r="G102" s="326"/>
      <c r="H102" s="327"/>
    </row>
    <row r="103" spans="1:9" ht="19.5" customHeight="1" x14ac:dyDescent="0.3">
      <c r="C103" s="344" t="s">
        <v>81</v>
      </c>
      <c r="D103" s="351">
        <f>D102/B34</f>
        <v>20</v>
      </c>
      <c r="F103" s="255"/>
      <c r="G103" s="326"/>
      <c r="H103" s="327"/>
      <c r="I103" s="269"/>
    </row>
    <row r="104" spans="1:9" ht="18.75" x14ac:dyDescent="0.3">
      <c r="C104" s="346" t="s">
        <v>116</v>
      </c>
      <c r="D104" s="347">
        <f>AVERAGE(E92:E95,G92:G95)</f>
        <v>889530.46310527262</v>
      </c>
      <c r="F104" s="255"/>
      <c r="G104" s="329"/>
      <c r="H104" s="327"/>
      <c r="I104" s="271"/>
    </row>
    <row r="105" spans="1:9" ht="18.75" x14ac:dyDescent="0.3">
      <c r="C105" s="251" t="s">
        <v>83</v>
      </c>
      <c r="D105" s="270">
        <f>STDEV(E92:E95,G92:G95)/D104</f>
        <v>3.299116851610738E-3</v>
      </c>
      <c r="F105" s="255"/>
      <c r="G105" s="326"/>
      <c r="H105" s="327"/>
      <c r="I105" s="271"/>
    </row>
    <row r="106" spans="1:9" ht="19.5" customHeight="1" x14ac:dyDescent="0.3">
      <c r="C106" s="253" t="s">
        <v>19</v>
      </c>
      <c r="D106" s="272">
        <f>COUNT(E92:E95,G92:G95)</f>
        <v>6</v>
      </c>
      <c r="F106" s="255"/>
      <c r="G106" s="326"/>
      <c r="H106" s="327"/>
      <c r="I106" s="271"/>
    </row>
    <row r="107" spans="1:9" ht="19.5" customHeight="1" x14ac:dyDescent="0.3">
      <c r="A107" s="213"/>
      <c r="B107" s="213"/>
      <c r="C107" s="213"/>
      <c r="D107" s="213"/>
      <c r="E107" s="213"/>
    </row>
    <row r="108" spans="1:9" ht="26.25" customHeight="1" x14ac:dyDescent="0.4">
      <c r="A108" s="232" t="s">
        <v>117</v>
      </c>
      <c r="B108" s="360">
        <v>1000</v>
      </c>
      <c r="C108" s="273" t="s">
        <v>133</v>
      </c>
      <c r="D108" s="274" t="s">
        <v>62</v>
      </c>
      <c r="E108" s="275" t="s">
        <v>119</v>
      </c>
      <c r="F108" s="276" t="s">
        <v>120</v>
      </c>
    </row>
    <row r="109" spans="1:9" ht="26.25" customHeight="1" x14ac:dyDescent="0.4">
      <c r="A109" s="233" t="s">
        <v>121</v>
      </c>
      <c r="B109" s="361">
        <v>5</v>
      </c>
      <c r="C109" s="239">
        <v>1</v>
      </c>
      <c r="D109" s="374">
        <v>600890</v>
      </c>
      <c r="E109" s="277">
        <f t="shared" ref="E109:E114" si="1">IF(ISBLANK(D109),"-",D109/$D$104*$D$101*$B$117)</f>
        <v>54.041094705388353</v>
      </c>
      <c r="F109" s="278">
        <f t="shared" ref="F109:F114" si="2">IF(ISBLANK(D109), "-", E109/$B$56)</f>
        <v>0.67551368381735444</v>
      </c>
    </row>
    <row r="110" spans="1:9" ht="26.25" customHeight="1" x14ac:dyDescent="0.4">
      <c r="A110" s="233" t="s">
        <v>94</v>
      </c>
      <c r="B110" s="361">
        <v>20</v>
      </c>
      <c r="C110" s="239">
        <v>2</v>
      </c>
      <c r="D110" s="374">
        <v>641006</v>
      </c>
      <c r="E110" s="279">
        <f t="shared" si="1"/>
        <v>57.648930674037125</v>
      </c>
      <c r="F110" s="302">
        <f t="shared" si="2"/>
        <v>0.72061163342546408</v>
      </c>
    </row>
    <row r="111" spans="1:9" ht="26.25" customHeight="1" x14ac:dyDescent="0.4">
      <c r="A111" s="233" t="s">
        <v>95</v>
      </c>
      <c r="B111" s="361">
        <v>1</v>
      </c>
      <c r="C111" s="239">
        <v>3</v>
      </c>
      <c r="D111" s="374">
        <v>608865</v>
      </c>
      <c r="E111" s="279">
        <f t="shared" si="1"/>
        <v>54.758327027902418</v>
      </c>
      <c r="F111" s="302">
        <f t="shared" si="2"/>
        <v>0.6844790878487802</v>
      </c>
    </row>
    <row r="112" spans="1:9" ht="26.25" customHeight="1" x14ac:dyDescent="0.4">
      <c r="A112" s="233" t="s">
        <v>96</v>
      </c>
      <c r="B112" s="361">
        <v>1</v>
      </c>
      <c r="C112" s="239">
        <v>4</v>
      </c>
      <c r="D112" s="374">
        <v>604683</v>
      </c>
      <c r="E112" s="279">
        <f t="shared" si="1"/>
        <v>54.382218492133923</v>
      </c>
      <c r="F112" s="302">
        <f t="shared" si="2"/>
        <v>0.67977773115167406</v>
      </c>
    </row>
    <row r="113" spans="1:9" ht="26.25" customHeight="1" x14ac:dyDescent="0.4">
      <c r="A113" s="233" t="s">
        <v>97</v>
      </c>
      <c r="B113" s="361">
        <v>1</v>
      </c>
      <c r="C113" s="239">
        <v>5</v>
      </c>
      <c r="D113" s="374">
        <v>637702</v>
      </c>
      <c r="E113" s="279">
        <f t="shared" si="1"/>
        <v>57.351785145060774</v>
      </c>
      <c r="F113" s="302">
        <f t="shared" si="2"/>
        <v>0.71689731431325965</v>
      </c>
    </row>
    <row r="114" spans="1:9" ht="26.25" customHeight="1" x14ac:dyDescent="0.4">
      <c r="A114" s="233" t="s">
        <v>99</v>
      </c>
      <c r="B114" s="361">
        <v>1</v>
      </c>
      <c r="C114" s="242">
        <v>6</v>
      </c>
      <c r="D114" s="375">
        <v>691573</v>
      </c>
      <c r="E114" s="280">
        <f t="shared" si="1"/>
        <v>62.196678241757297</v>
      </c>
      <c r="F114" s="303">
        <f t="shared" si="2"/>
        <v>0.77745847802196622</v>
      </c>
    </row>
    <row r="115" spans="1:9" ht="26.25" customHeight="1" x14ac:dyDescent="0.4">
      <c r="A115" s="233" t="s">
        <v>100</v>
      </c>
      <c r="B115" s="361">
        <v>1</v>
      </c>
      <c r="C115" s="239"/>
      <c r="D115" s="265"/>
      <c r="E115" s="267"/>
      <c r="F115" s="281"/>
    </row>
    <row r="116" spans="1:9" ht="26.25" customHeight="1" x14ac:dyDescent="0.4">
      <c r="A116" s="233" t="s">
        <v>101</v>
      </c>
      <c r="B116" s="361">
        <v>1</v>
      </c>
      <c r="C116" s="239"/>
      <c r="D116" s="282"/>
      <c r="E116" s="283" t="s">
        <v>70</v>
      </c>
      <c r="F116" s="379">
        <f>AVERAGE(F109:F114)</f>
        <v>0.70912298809641638</v>
      </c>
    </row>
    <row r="117" spans="1:9" ht="27" customHeight="1" x14ac:dyDescent="0.4">
      <c r="A117" s="233" t="s">
        <v>102</v>
      </c>
      <c r="B117" s="330">
        <f>(B116/B115)*(B114/B113)*(B112/B111)*(B110/B109)*B108</f>
        <v>4000</v>
      </c>
      <c r="C117" s="284"/>
      <c r="D117" s="285"/>
      <c r="E117" s="286" t="s">
        <v>83</v>
      </c>
      <c r="F117" s="380">
        <f>STDEV(F109:F114)/F116</f>
        <v>5.4471487879420515E-2</v>
      </c>
    </row>
    <row r="118" spans="1:9" ht="27" customHeight="1" x14ac:dyDescent="0.4">
      <c r="A118" s="484" t="s">
        <v>77</v>
      </c>
      <c r="B118" s="488"/>
      <c r="C118" s="287"/>
      <c r="D118" s="288"/>
      <c r="E118" s="289" t="s">
        <v>19</v>
      </c>
      <c r="F118" s="381">
        <f>COUNT(F109:F114)</f>
        <v>6</v>
      </c>
      <c r="I118" s="271"/>
    </row>
    <row r="119" spans="1:9" ht="19.5" customHeight="1" x14ac:dyDescent="0.3">
      <c r="A119" s="486"/>
      <c r="B119" s="489"/>
      <c r="C119" s="267"/>
      <c r="D119" s="267"/>
      <c r="E119" s="267"/>
      <c r="F119" s="265"/>
      <c r="G119" s="267"/>
      <c r="H119" s="267"/>
    </row>
    <row r="120" spans="1:9" ht="18.75" x14ac:dyDescent="0.3">
      <c r="A120" s="230"/>
      <c r="B120" s="230"/>
      <c r="C120" s="267"/>
      <c r="D120" s="267"/>
      <c r="E120" s="267"/>
      <c r="F120" s="265"/>
      <c r="G120" s="267"/>
      <c r="H120" s="267"/>
    </row>
    <row r="121" spans="1:9" ht="26.25" customHeight="1" x14ac:dyDescent="0.4">
      <c r="A121" s="220" t="s">
        <v>129</v>
      </c>
      <c r="B121" s="354" t="s">
        <v>122</v>
      </c>
      <c r="C121" s="491" t="str">
        <f>B20</f>
        <v>Artemether 80mg, Lumefantrine 480mg</v>
      </c>
      <c r="D121" s="491"/>
      <c r="E121" s="355" t="s">
        <v>123</v>
      </c>
      <c r="F121" s="355"/>
      <c r="G121" s="382">
        <f>F116</f>
        <v>0.70912298809641638</v>
      </c>
      <c r="H121" s="267"/>
    </row>
    <row r="122" spans="1:9" ht="18.75" x14ac:dyDescent="0.3">
      <c r="A122" s="230"/>
      <c r="B122" s="230"/>
      <c r="C122" s="267"/>
      <c r="D122" s="267"/>
      <c r="E122" s="267"/>
      <c r="F122" s="265"/>
      <c r="G122" s="267"/>
      <c r="H122" s="267"/>
    </row>
    <row r="123" spans="1:9" ht="26.25" customHeight="1" x14ac:dyDescent="0.4">
      <c r="A123" s="219" t="s">
        <v>130</v>
      </c>
      <c r="B123" s="219" t="s">
        <v>131</v>
      </c>
      <c r="D123" s="376" t="s">
        <v>134</v>
      </c>
    </row>
    <row r="124" spans="1:9" ht="19.5" customHeight="1" x14ac:dyDescent="0.3">
      <c r="A124" s="213"/>
      <c r="B124" s="213"/>
      <c r="C124" s="213"/>
      <c r="D124" s="213"/>
      <c r="E124" s="213"/>
    </row>
    <row r="125" spans="1:9" ht="26.25" customHeight="1" x14ac:dyDescent="0.4">
      <c r="A125" s="232" t="s">
        <v>117</v>
      </c>
      <c r="B125" s="360">
        <v>1000</v>
      </c>
      <c r="C125" s="273" t="s">
        <v>133</v>
      </c>
      <c r="D125" s="274" t="s">
        <v>62</v>
      </c>
      <c r="E125" s="275" t="s">
        <v>119</v>
      </c>
      <c r="F125" s="276" t="s">
        <v>120</v>
      </c>
    </row>
    <row r="126" spans="1:9" ht="26.25" customHeight="1" x14ac:dyDescent="0.4">
      <c r="A126" s="233" t="s">
        <v>121</v>
      </c>
      <c r="B126" s="361">
        <v>5</v>
      </c>
      <c r="C126" s="239">
        <v>1</v>
      </c>
      <c r="D126" s="377">
        <v>993525</v>
      </c>
      <c r="E126" s="335">
        <f t="shared" ref="E126:E131" si="3">IF(ISBLANK(D126),"-",D126/$D$104*$D$101*$B$134)</f>
        <v>89.352757771257586</v>
      </c>
      <c r="F126" s="332">
        <f t="shared" ref="F126:F131" si="4">IF(ISBLANK(D126), "-", E126/$B$56)</f>
        <v>1.1169094721407198</v>
      </c>
      <c r="G126" s="2" t="s">
        <v>136</v>
      </c>
    </row>
    <row r="127" spans="1:9" ht="26.25" customHeight="1" x14ac:dyDescent="0.4">
      <c r="A127" s="233" t="s">
        <v>94</v>
      </c>
      <c r="B127" s="361">
        <v>20</v>
      </c>
      <c r="C127" s="239">
        <v>2</v>
      </c>
      <c r="D127" s="377">
        <v>995311</v>
      </c>
      <c r="E127" s="336">
        <f t="shared" si="3"/>
        <v>89.513381837465744</v>
      </c>
      <c r="F127" s="333">
        <f t="shared" si="4"/>
        <v>1.1189172729683219</v>
      </c>
    </row>
    <row r="128" spans="1:9" ht="26.25" customHeight="1" x14ac:dyDescent="0.4">
      <c r="A128" s="233" t="s">
        <v>95</v>
      </c>
      <c r="B128" s="361">
        <v>1</v>
      </c>
      <c r="C128" s="239">
        <v>3</v>
      </c>
      <c r="D128" s="377">
        <v>906163</v>
      </c>
      <c r="E128" s="336">
        <f t="shared" si="3"/>
        <v>81.495848660351854</v>
      </c>
      <c r="F128" s="333">
        <f t="shared" si="4"/>
        <v>1.0186981082543982</v>
      </c>
    </row>
    <row r="129" spans="1:9" ht="26.25" customHeight="1" x14ac:dyDescent="0.4">
      <c r="A129" s="233" t="s">
        <v>96</v>
      </c>
      <c r="B129" s="361">
        <v>1</v>
      </c>
      <c r="C129" s="239">
        <v>4</v>
      </c>
      <c r="D129" s="377">
        <v>1034462</v>
      </c>
      <c r="E129" s="336">
        <f t="shared" si="3"/>
        <v>93.034430446713117</v>
      </c>
      <c r="F129" s="333">
        <f t="shared" si="4"/>
        <v>1.162930380583914</v>
      </c>
    </row>
    <row r="130" spans="1:9" ht="26.25" customHeight="1" x14ac:dyDescent="0.4">
      <c r="A130" s="233" t="s">
        <v>97</v>
      </c>
      <c r="B130" s="361">
        <v>1</v>
      </c>
      <c r="C130" s="239">
        <v>5</v>
      </c>
      <c r="D130" s="377">
        <v>1023719</v>
      </c>
      <c r="E130" s="336">
        <f t="shared" si="3"/>
        <v>92.06825780210265</v>
      </c>
      <c r="F130" s="333">
        <f t="shared" si="4"/>
        <v>1.1508532225262831</v>
      </c>
    </row>
    <row r="131" spans="1:9" ht="26.25" customHeight="1" x14ac:dyDescent="0.4">
      <c r="A131" s="233" t="s">
        <v>99</v>
      </c>
      <c r="B131" s="361">
        <v>1</v>
      </c>
      <c r="C131" s="242">
        <v>6</v>
      </c>
      <c r="D131" s="378">
        <v>1118267</v>
      </c>
      <c r="E131" s="337">
        <f t="shared" si="3"/>
        <v>100.57144045151446</v>
      </c>
      <c r="F131" s="334">
        <f t="shared" si="4"/>
        <v>1.2571430056439308</v>
      </c>
    </row>
    <row r="132" spans="1:9" ht="26.25" customHeight="1" x14ac:dyDescent="0.4">
      <c r="A132" s="233" t="s">
        <v>100</v>
      </c>
      <c r="B132" s="361">
        <v>1</v>
      </c>
      <c r="C132" s="239"/>
      <c r="D132" s="265"/>
      <c r="E132" s="267"/>
      <c r="F132" s="281"/>
    </row>
    <row r="133" spans="1:9" ht="26.25" customHeight="1" x14ac:dyDescent="0.4">
      <c r="A133" s="233" t="s">
        <v>101</v>
      </c>
      <c r="B133" s="361">
        <v>1</v>
      </c>
      <c r="C133" s="239"/>
      <c r="D133" s="282"/>
      <c r="E133" s="283" t="s">
        <v>70</v>
      </c>
      <c r="F133" s="379">
        <f>AVERAGE(F126:F131)</f>
        <v>1.1375752436862612</v>
      </c>
    </row>
    <row r="134" spans="1:9" ht="27" customHeight="1" x14ac:dyDescent="0.4">
      <c r="A134" s="233" t="s">
        <v>102</v>
      </c>
      <c r="B134" s="383">
        <f>(B133/B132)*(B131/B130)*(B129/B128)*(B127/B126)*B125</f>
        <v>4000</v>
      </c>
      <c r="C134" s="284"/>
      <c r="D134" s="285"/>
      <c r="E134" s="286" t="s">
        <v>83</v>
      </c>
      <c r="F134" s="380">
        <f>STDEV(F126:F131)/F133</f>
        <v>6.8117554776305989E-2</v>
      </c>
    </row>
    <row r="135" spans="1:9" ht="27" customHeight="1" x14ac:dyDescent="0.4">
      <c r="A135" s="484" t="s">
        <v>77</v>
      </c>
      <c r="B135" s="488"/>
      <c r="C135" s="287"/>
      <c r="D135" s="288"/>
      <c r="E135" s="289" t="s">
        <v>19</v>
      </c>
      <c r="F135" s="381">
        <f>COUNT(F126:F131)</f>
        <v>6</v>
      </c>
      <c r="I135" s="271"/>
    </row>
    <row r="136" spans="1:9" ht="19.5" customHeight="1" x14ac:dyDescent="0.3">
      <c r="A136" s="486"/>
      <c r="B136" s="489"/>
      <c r="C136" s="267"/>
      <c r="D136" s="267"/>
      <c r="E136" s="267"/>
      <c r="F136" s="265"/>
      <c r="G136" s="267"/>
      <c r="H136" s="267"/>
    </row>
    <row r="137" spans="1:9" ht="18.75" x14ac:dyDescent="0.3">
      <c r="A137" s="230"/>
      <c r="B137" s="230"/>
      <c r="C137" s="267"/>
      <c r="D137" s="267"/>
      <c r="E137" s="267"/>
      <c r="F137" s="265"/>
      <c r="G137" s="267"/>
      <c r="H137" s="267"/>
    </row>
    <row r="138" spans="1:9" ht="26.25" customHeight="1" x14ac:dyDescent="0.4">
      <c r="A138" s="220" t="s">
        <v>129</v>
      </c>
      <c r="B138" s="354" t="s">
        <v>122</v>
      </c>
      <c r="C138" s="491" t="str">
        <f>B20</f>
        <v>Artemether 80mg, Lumefantrine 480mg</v>
      </c>
      <c r="D138" s="491"/>
      <c r="E138" s="355" t="s">
        <v>123</v>
      </c>
      <c r="F138" s="355"/>
      <c r="G138" s="382">
        <f>F133</f>
        <v>1.1375752436862612</v>
      </c>
      <c r="H138" s="267"/>
    </row>
    <row r="139" spans="1:9" ht="19.5" customHeight="1" x14ac:dyDescent="0.3">
      <c r="A139" s="304"/>
      <c r="B139" s="304"/>
      <c r="C139" s="305"/>
      <c r="D139" s="305"/>
      <c r="E139" s="305"/>
      <c r="F139" s="305"/>
      <c r="G139" s="305"/>
      <c r="H139" s="305"/>
    </row>
    <row r="140" spans="1:9" ht="18.75" x14ac:dyDescent="0.3">
      <c r="B140" s="483" t="s">
        <v>25</v>
      </c>
      <c r="C140" s="483"/>
      <c r="E140" s="292" t="s">
        <v>26</v>
      </c>
      <c r="F140" s="318"/>
      <c r="G140" s="483" t="s">
        <v>27</v>
      </c>
      <c r="H140" s="483"/>
    </row>
    <row r="141" spans="1:9" ht="42.75" customHeight="1" x14ac:dyDescent="0.3">
      <c r="A141" s="319" t="s">
        <v>28</v>
      </c>
      <c r="B141" s="352"/>
      <c r="C141" s="352"/>
      <c r="E141" s="314"/>
      <c r="F141" s="267"/>
      <c r="G141" s="316"/>
      <c r="H141" s="316"/>
    </row>
    <row r="142" spans="1:9" ht="36" customHeight="1" x14ac:dyDescent="0.3">
      <c r="A142" s="319" t="s">
        <v>29</v>
      </c>
      <c r="B142" s="353"/>
      <c r="C142" s="353"/>
      <c r="E142" s="315"/>
      <c r="F142" s="267"/>
      <c r="G142" s="317"/>
      <c r="H142" s="317"/>
    </row>
    <row r="143" spans="1:9" ht="18.75" x14ac:dyDescent="0.3">
      <c r="A143" s="264"/>
      <c r="B143" s="264"/>
      <c r="C143" s="265"/>
      <c r="D143" s="265"/>
      <c r="E143" s="265"/>
      <c r="F143" s="266"/>
      <c r="G143" s="265"/>
      <c r="H143" s="265"/>
    </row>
    <row r="144" spans="1:9" ht="18.75" x14ac:dyDescent="0.3">
      <c r="A144" s="264"/>
      <c r="B144" s="264"/>
      <c r="C144" s="265"/>
      <c r="D144" s="265"/>
      <c r="E144" s="265"/>
      <c r="F144" s="266"/>
      <c r="G144" s="265"/>
      <c r="H144" s="265"/>
    </row>
    <row r="145" spans="1:8" ht="18.75" x14ac:dyDescent="0.3">
      <c r="A145" s="264"/>
      <c r="B145" s="264"/>
      <c r="C145" s="265"/>
      <c r="D145" s="265"/>
      <c r="E145" s="265"/>
      <c r="F145" s="266"/>
      <c r="G145" s="265"/>
      <c r="H145" s="265"/>
    </row>
    <row r="146" spans="1:8" ht="18.75" x14ac:dyDescent="0.3">
      <c r="A146" s="264"/>
      <c r="B146" s="264"/>
      <c r="C146" s="265"/>
      <c r="D146" s="265"/>
      <c r="E146" s="265"/>
      <c r="F146" s="266"/>
      <c r="G146" s="265"/>
      <c r="H146" s="265"/>
    </row>
    <row r="147" spans="1:8" ht="18.75" x14ac:dyDescent="0.3">
      <c r="A147" s="264"/>
      <c r="B147" s="264"/>
      <c r="C147" s="265"/>
      <c r="D147" s="265"/>
      <c r="E147" s="265"/>
      <c r="F147" s="266"/>
      <c r="G147" s="265"/>
      <c r="H147" s="265"/>
    </row>
    <row r="148" spans="1:8" ht="18.75" x14ac:dyDescent="0.3">
      <c r="A148" s="264"/>
      <c r="B148" s="264"/>
      <c r="C148" s="265"/>
      <c r="D148" s="265"/>
      <c r="E148" s="265"/>
      <c r="F148" s="266"/>
      <c r="G148" s="265"/>
      <c r="H148" s="265"/>
    </row>
    <row r="149" spans="1:8" ht="18.75" x14ac:dyDescent="0.3">
      <c r="A149" s="264"/>
      <c r="B149" s="264"/>
      <c r="C149" s="265"/>
      <c r="D149" s="265"/>
      <c r="E149" s="265"/>
      <c r="F149" s="266"/>
      <c r="G149" s="265"/>
      <c r="H149" s="265"/>
    </row>
    <row r="150" spans="1:8" ht="18.75" x14ac:dyDescent="0.3">
      <c r="A150" s="264"/>
      <c r="B150" s="264"/>
      <c r="C150" s="265"/>
      <c r="D150" s="265"/>
      <c r="E150" s="265"/>
      <c r="F150" s="266"/>
      <c r="G150" s="265"/>
      <c r="H150" s="265"/>
    </row>
    <row r="151" spans="1:8" ht="18.75" x14ac:dyDescent="0.3">
      <c r="A151" s="264"/>
      <c r="B151" s="264"/>
      <c r="C151" s="265"/>
      <c r="D151" s="265"/>
      <c r="E151" s="265"/>
      <c r="F151" s="266"/>
      <c r="G151" s="265"/>
      <c r="H151" s="265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A1:H7"/>
    <mergeCell ref="A8:H14"/>
    <mergeCell ref="A16:H16"/>
    <mergeCell ref="C85:H85"/>
    <mergeCell ref="C86:H86"/>
    <mergeCell ref="B80:C80"/>
    <mergeCell ref="B26:C26"/>
    <mergeCell ref="B18:C18"/>
    <mergeCell ref="B20:C20"/>
    <mergeCell ref="B21:H21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1" fitToHeight="2" orientation="portrait" r:id="rId1"/>
  <headerFooter alignWithMargins="0"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4" t="s">
        <v>44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45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">
      <c r="A15" s="52"/>
    </row>
    <row r="16" spans="1:9" ht="19.5" customHeight="1" x14ac:dyDescent="0.3">
      <c r="A16" s="521" t="s">
        <v>30</v>
      </c>
      <c r="B16" s="522"/>
      <c r="C16" s="522"/>
      <c r="D16" s="522"/>
      <c r="E16" s="522"/>
      <c r="F16" s="522"/>
      <c r="G16" s="522"/>
      <c r="H16" s="523"/>
    </row>
    <row r="17" spans="1:14" ht="20.25" customHeight="1" x14ac:dyDescent="0.25">
      <c r="A17" s="524" t="s">
        <v>46</v>
      </c>
      <c r="B17" s="524"/>
      <c r="C17" s="524"/>
      <c r="D17" s="524"/>
      <c r="E17" s="524"/>
      <c r="F17" s="524"/>
      <c r="G17" s="524"/>
      <c r="H17" s="524"/>
    </row>
    <row r="18" spans="1:14" ht="26.25" customHeight="1" x14ac:dyDescent="0.4">
      <c r="A18" s="54" t="s">
        <v>32</v>
      </c>
      <c r="B18" s="519" t="s">
        <v>5</v>
      </c>
      <c r="C18" s="519"/>
      <c r="D18" s="198"/>
      <c r="E18" s="55"/>
      <c r="F18" s="56"/>
      <c r="G18" s="56"/>
      <c r="H18" s="56"/>
    </row>
    <row r="19" spans="1:14" ht="26.25" customHeight="1" x14ac:dyDescent="0.4">
      <c r="A19" s="54" t="s">
        <v>33</v>
      </c>
      <c r="B19" s="57" t="s">
        <v>7</v>
      </c>
      <c r="C19" s="212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34</v>
      </c>
      <c r="B20" s="513" t="s">
        <v>9</v>
      </c>
      <c r="C20" s="513"/>
      <c r="D20" s="56"/>
      <c r="E20" s="56"/>
      <c r="F20" s="56"/>
      <c r="G20" s="56"/>
      <c r="H20" s="56"/>
    </row>
    <row r="21" spans="1:14" ht="26.25" customHeight="1" x14ac:dyDescent="0.4">
      <c r="A21" s="54" t="s">
        <v>35</v>
      </c>
      <c r="B21" s="513" t="s">
        <v>11</v>
      </c>
      <c r="C21" s="513"/>
      <c r="D21" s="513"/>
      <c r="E21" s="513"/>
      <c r="F21" s="513"/>
      <c r="G21" s="513"/>
      <c r="H21" s="513"/>
      <c r="I21" s="58"/>
    </row>
    <row r="22" spans="1:14" ht="26.25" customHeight="1" x14ac:dyDescent="0.4">
      <c r="A22" s="54" t="s">
        <v>36</v>
      </c>
      <c r="B22" s="59" t="str">
        <f>'ARTEMETHER diss 2'!B22</f>
        <v>29th DEC 2015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37</v>
      </c>
      <c r="B23" s="59" t="str">
        <f>'ARTEMETHER diss 2'!B23</f>
        <v>4TH Dec 2015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519" t="s">
        <v>137</v>
      </c>
      <c r="C26" s="519"/>
    </row>
    <row r="27" spans="1:14" ht="26.25" customHeight="1" x14ac:dyDescent="0.4">
      <c r="A27" s="63" t="s">
        <v>47</v>
      </c>
      <c r="B27" s="505" t="s">
        <v>138</v>
      </c>
      <c r="C27" s="505"/>
    </row>
    <row r="28" spans="1:14" ht="27" customHeight="1" x14ac:dyDescent="0.4">
      <c r="A28" s="63" t="s">
        <v>6</v>
      </c>
      <c r="B28" s="358">
        <v>100.2</v>
      </c>
      <c r="C28" s="326"/>
    </row>
    <row r="29" spans="1:14" s="4" customFormat="1" ht="27" customHeight="1" x14ac:dyDescent="0.4">
      <c r="A29" s="63" t="s">
        <v>48</v>
      </c>
      <c r="B29" s="65">
        <v>0</v>
      </c>
      <c r="C29" s="506" t="s">
        <v>49</v>
      </c>
      <c r="D29" s="507"/>
      <c r="E29" s="507"/>
      <c r="F29" s="507"/>
      <c r="G29" s="508"/>
      <c r="I29" s="66"/>
      <c r="J29" s="66"/>
      <c r="K29" s="66"/>
      <c r="L29" s="66"/>
    </row>
    <row r="30" spans="1:14" s="4" customFormat="1" ht="19.5" customHeight="1" x14ac:dyDescent="0.3">
      <c r="A30" s="63" t="s">
        <v>50</v>
      </c>
      <c r="B30" s="67">
        <f>B28-B29</f>
        <v>100.2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" customFormat="1" ht="27" customHeight="1" x14ac:dyDescent="0.4">
      <c r="A31" s="63" t="s">
        <v>51</v>
      </c>
      <c r="B31" s="70">
        <v>1</v>
      </c>
      <c r="C31" s="509" t="s">
        <v>52</v>
      </c>
      <c r="D31" s="510"/>
      <c r="E31" s="510"/>
      <c r="F31" s="510"/>
      <c r="G31" s="510"/>
      <c r="H31" s="511"/>
      <c r="I31" s="66"/>
      <c r="J31" s="66"/>
      <c r="K31" s="66"/>
      <c r="L31" s="66"/>
    </row>
    <row r="32" spans="1:14" s="4" customFormat="1" ht="27" customHeight="1" x14ac:dyDescent="0.4">
      <c r="A32" s="63" t="s">
        <v>53</v>
      </c>
      <c r="B32" s="70">
        <v>1</v>
      </c>
      <c r="C32" s="509" t="s">
        <v>54</v>
      </c>
      <c r="D32" s="510"/>
      <c r="E32" s="510"/>
      <c r="F32" s="510"/>
      <c r="G32" s="510"/>
      <c r="H32" s="511"/>
      <c r="I32" s="66"/>
      <c r="J32" s="66"/>
      <c r="K32" s="66"/>
      <c r="L32" s="71"/>
      <c r="M32" s="71"/>
      <c r="N32" s="72"/>
    </row>
    <row r="33" spans="1:14" s="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" customFormat="1" ht="18.75" x14ac:dyDescent="0.3">
      <c r="A34" s="63" t="s">
        <v>55</v>
      </c>
      <c r="B34" s="75">
        <f>B31/B32</f>
        <v>1</v>
      </c>
      <c r="C34" s="53" t="s">
        <v>56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4" customFormat="1" ht="27" customHeight="1" x14ac:dyDescent="0.4">
      <c r="A36" s="76" t="s">
        <v>57</v>
      </c>
      <c r="B36" s="360">
        <v>50</v>
      </c>
      <c r="C36" s="53"/>
      <c r="D36" s="492" t="s">
        <v>58</v>
      </c>
      <c r="E36" s="512"/>
      <c r="F36" s="492" t="s">
        <v>59</v>
      </c>
      <c r="G36" s="493"/>
      <c r="J36" s="66"/>
      <c r="K36" s="66"/>
      <c r="L36" s="71"/>
      <c r="M36" s="71"/>
      <c r="N36" s="72"/>
    </row>
    <row r="37" spans="1:14" s="4" customFormat="1" ht="27" customHeight="1" x14ac:dyDescent="0.4">
      <c r="A37" s="78" t="s">
        <v>60</v>
      </c>
      <c r="B37" s="361">
        <v>2</v>
      </c>
      <c r="C37" s="80" t="s">
        <v>61</v>
      </c>
      <c r="D37" s="81" t="s">
        <v>62</v>
      </c>
      <c r="E37" s="82" t="s">
        <v>63</v>
      </c>
      <c r="F37" s="81" t="s">
        <v>62</v>
      </c>
      <c r="G37" s="83" t="s">
        <v>63</v>
      </c>
      <c r="I37" s="84" t="s">
        <v>64</v>
      </c>
      <c r="J37" s="66"/>
      <c r="K37" s="66"/>
      <c r="L37" s="71"/>
      <c r="M37" s="71"/>
      <c r="N37" s="72"/>
    </row>
    <row r="38" spans="1:14" s="4" customFormat="1" ht="26.25" customHeight="1" x14ac:dyDescent="0.4">
      <c r="A38" s="78" t="s">
        <v>65</v>
      </c>
      <c r="B38" s="361">
        <v>10</v>
      </c>
      <c r="C38" s="85">
        <v>1</v>
      </c>
      <c r="D38" s="392">
        <v>8379162</v>
      </c>
      <c r="E38" s="393">
        <f>IF(ISBLANK(D38),"-",$D$48/$D$45*D38)</f>
        <v>7757362.8253696682</v>
      </c>
      <c r="F38" s="362">
        <v>10061419</v>
      </c>
      <c r="G38" s="394">
        <f>IF(ISBLANK(F38),"-",$D$48/$F$45*F38)</f>
        <v>7796068.5771314502</v>
      </c>
      <c r="I38" s="86"/>
      <c r="J38" s="66"/>
      <c r="K38" s="66"/>
      <c r="L38" s="71"/>
      <c r="M38" s="71"/>
      <c r="N38" s="72"/>
    </row>
    <row r="39" spans="1:14" s="4" customFormat="1" ht="26.25" customHeight="1" x14ac:dyDescent="0.4">
      <c r="A39" s="78" t="s">
        <v>66</v>
      </c>
      <c r="B39" s="79">
        <v>1</v>
      </c>
      <c r="C39" s="87">
        <v>2</v>
      </c>
      <c r="D39" s="392">
        <v>8367316</v>
      </c>
      <c r="E39" s="395">
        <f>IF(ISBLANK(D39),"-",$D$48/$D$45*D39)</f>
        <v>7746395.8909638971</v>
      </c>
      <c r="F39" s="362">
        <v>10062388</v>
      </c>
      <c r="G39" s="396">
        <f>IF(ISBLANK(F39),"-",$D$48/$F$45*F39)</f>
        <v>7796819.4046689216</v>
      </c>
      <c r="I39" s="520">
        <f>ABS((F43/D43*D42)-F42)/D42</f>
        <v>6.3899513345980112E-3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67</v>
      </c>
      <c r="B40" s="79">
        <v>1</v>
      </c>
      <c r="C40" s="87">
        <v>3</v>
      </c>
      <c r="D40" s="392">
        <v>8384910</v>
      </c>
      <c r="E40" s="395">
        <f>IF(ISBLANK(D40),"-",$D$48/$D$45*D40)</f>
        <v>7762684.278937486</v>
      </c>
      <c r="F40" s="362">
        <v>10045309</v>
      </c>
      <c r="G40" s="396">
        <f>IF(ISBLANK(F40),"-",$D$48/$F$45*F40)</f>
        <v>7783585.7787530515</v>
      </c>
      <c r="I40" s="520"/>
      <c r="L40" s="71"/>
      <c r="M40" s="71"/>
      <c r="N40" s="88"/>
    </row>
    <row r="41" spans="1:14" ht="27" customHeight="1" x14ac:dyDescent="0.4">
      <c r="A41" s="78" t="s">
        <v>68</v>
      </c>
      <c r="B41" s="79">
        <v>1</v>
      </c>
      <c r="C41" s="89">
        <v>4</v>
      </c>
      <c r="D41" s="364">
        <v>8331298</v>
      </c>
      <c r="E41" s="397">
        <f>IF(ISBLANK(D41),"-",$D$48/$D$45*D41)</f>
        <v>7713050.7074903985</v>
      </c>
      <c r="F41" s="364">
        <v>10026100</v>
      </c>
      <c r="G41" s="398">
        <f>IF(ISBLANK(F41),"-",$D$48/$F$45*F41)</f>
        <v>7768701.7269808203</v>
      </c>
      <c r="I41" s="90"/>
      <c r="L41" s="71"/>
      <c r="M41" s="71"/>
      <c r="N41" s="88"/>
    </row>
    <row r="42" spans="1:14" ht="27" customHeight="1" x14ac:dyDescent="0.4">
      <c r="A42" s="78" t="s">
        <v>69</v>
      </c>
      <c r="B42" s="79">
        <v>1</v>
      </c>
      <c r="C42" s="91" t="s">
        <v>70</v>
      </c>
      <c r="D42" s="244">
        <f>AVERAGE(D38:D41)</f>
        <v>8365671.5</v>
      </c>
      <c r="E42" s="268">
        <f>AVERAGE(E38:E41)</f>
        <v>7744873.4256903622</v>
      </c>
      <c r="F42" s="244">
        <f>AVERAGE(F38:F41)</f>
        <v>10048804</v>
      </c>
      <c r="G42" s="245">
        <f>AVERAGE(G38:G41)</f>
        <v>7786293.8718835609</v>
      </c>
      <c r="H42" s="92"/>
    </row>
    <row r="43" spans="1:14" ht="26.25" customHeight="1" x14ac:dyDescent="0.4">
      <c r="A43" s="78" t="s">
        <v>71</v>
      </c>
      <c r="B43" s="79">
        <v>1</v>
      </c>
      <c r="C43" s="93" t="s">
        <v>72</v>
      </c>
      <c r="D43" s="365">
        <v>16.170000000000002</v>
      </c>
      <c r="E43" s="355"/>
      <c r="F43" s="365">
        <v>19.32</v>
      </c>
      <c r="G43" s="326"/>
      <c r="H43" s="92"/>
    </row>
    <row r="44" spans="1:14" ht="26.25" customHeight="1" x14ac:dyDescent="0.4">
      <c r="A44" s="78" t="s">
        <v>73</v>
      </c>
      <c r="B44" s="79">
        <v>1</v>
      </c>
      <c r="C44" s="94" t="s">
        <v>74</v>
      </c>
      <c r="D44" s="95">
        <f>D43*$B$34</f>
        <v>16.170000000000002</v>
      </c>
      <c r="E44" s="96"/>
      <c r="F44" s="95">
        <f>F43*$B$34</f>
        <v>19.32</v>
      </c>
      <c r="H44" s="92"/>
    </row>
    <row r="45" spans="1:14" ht="19.5" customHeight="1" x14ac:dyDescent="0.3">
      <c r="A45" s="78" t="s">
        <v>75</v>
      </c>
      <c r="B45" s="97">
        <f>(B44/B43)*(B42/B41)*(B40/B39)*(B38/B37)*B36</f>
        <v>250</v>
      </c>
      <c r="C45" s="94" t="s">
        <v>76</v>
      </c>
      <c r="D45" s="98">
        <f>D44*$B$30/100</f>
        <v>16.202340000000003</v>
      </c>
      <c r="E45" s="99"/>
      <c r="F45" s="98">
        <f>F44*$B$30/100</f>
        <v>19.358640000000001</v>
      </c>
      <c r="H45" s="92"/>
    </row>
    <row r="46" spans="1:14" ht="19.5" customHeight="1" x14ac:dyDescent="0.3">
      <c r="A46" s="484" t="s">
        <v>77</v>
      </c>
      <c r="B46" s="488"/>
      <c r="C46" s="94" t="s">
        <v>78</v>
      </c>
      <c r="D46" s="100">
        <f>D45/$B$45</f>
        <v>6.480936000000001E-2</v>
      </c>
      <c r="E46" s="101"/>
      <c r="F46" s="102">
        <f>F45/$B$45</f>
        <v>7.743456E-2</v>
      </c>
      <c r="H46" s="92"/>
    </row>
    <row r="47" spans="1:14" ht="27" customHeight="1" x14ac:dyDescent="0.4">
      <c r="A47" s="486"/>
      <c r="B47" s="489"/>
      <c r="C47" s="103" t="s">
        <v>79</v>
      </c>
      <c r="D47" s="104">
        <v>0.06</v>
      </c>
      <c r="E47" s="105"/>
      <c r="F47" s="101"/>
      <c r="H47" s="92"/>
    </row>
    <row r="48" spans="1:14" ht="18.75" x14ac:dyDescent="0.3">
      <c r="C48" s="106" t="s">
        <v>80</v>
      </c>
      <c r="D48" s="98">
        <f>D47*$B$45</f>
        <v>15</v>
      </c>
      <c r="F48" s="107"/>
      <c r="H48" s="92"/>
    </row>
    <row r="49" spans="1:12" ht="19.5" customHeight="1" x14ac:dyDescent="0.3">
      <c r="C49" s="108" t="s">
        <v>81</v>
      </c>
      <c r="D49" s="109">
        <f>D48/B34</f>
        <v>15</v>
      </c>
      <c r="F49" s="107"/>
      <c r="H49" s="92"/>
    </row>
    <row r="50" spans="1:12" ht="18.75" x14ac:dyDescent="0.3">
      <c r="C50" s="76" t="s">
        <v>82</v>
      </c>
      <c r="D50" s="110">
        <f>AVERAGE(E38:E41,G38:G41)</f>
        <v>7765583.6487869611</v>
      </c>
      <c r="F50" s="111"/>
      <c r="H50" s="92"/>
    </row>
    <row r="51" spans="1:12" ht="18.75" x14ac:dyDescent="0.3">
      <c r="C51" s="78" t="s">
        <v>83</v>
      </c>
      <c r="D51" s="112">
        <f>STDEV(E38:E41,G38:G41)/D50</f>
        <v>3.5907312825288282E-3</v>
      </c>
      <c r="F51" s="111"/>
      <c r="H51" s="92"/>
    </row>
    <row r="52" spans="1:12" ht="19.5" customHeight="1" x14ac:dyDescent="0.3">
      <c r="C52" s="113" t="s">
        <v>19</v>
      </c>
      <c r="D52" s="114">
        <f>COUNT(E38:E41,G38:G41)</f>
        <v>8</v>
      </c>
      <c r="F52" s="111"/>
    </row>
    <row r="54" spans="1:12" ht="18.75" x14ac:dyDescent="0.3">
      <c r="A54" s="115" t="s">
        <v>1</v>
      </c>
      <c r="B54" s="116" t="s">
        <v>84</v>
      </c>
    </row>
    <row r="55" spans="1:12" ht="18.75" x14ac:dyDescent="0.3">
      <c r="A55" s="53" t="s">
        <v>85</v>
      </c>
      <c r="B55" s="117" t="str">
        <f>B21</f>
        <v>Each film coated tablet contains:
Artemether 80 mg
Lumefantrine 480 mg</v>
      </c>
    </row>
    <row r="56" spans="1:12" ht="26.25" customHeight="1" x14ac:dyDescent="0.4">
      <c r="A56" s="118" t="s">
        <v>86</v>
      </c>
      <c r="B56" s="119">
        <v>480</v>
      </c>
      <c r="C56" s="53" t="str">
        <f>B20</f>
        <v>Artemether 80mg, Lumefantrine 480mg</v>
      </c>
      <c r="H56" s="120"/>
    </row>
    <row r="57" spans="1:12" ht="18.75" x14ac:dyDescent="0.3">
      <c r="A57" s="117" t="s">
        <v>87</v>
      </c>
      <c r="B57" s="199">
        <f>Uniformity!C46</f>
        <v>819.76850000000036</v>
      </c>
      <c r="H57" s="120"/>
    </row>
    <row r="58" spans="1:12" ht="19.5" customHeight="1" x14ac:dyDescent="0.3">
      <c r="H58" s="120"/>
    </row>
    <row r="59" spans="1:12" s="4" customFormat="1" ht="27" customHeight="1" thickBot="1" x14ac:dyDescent="0.45">
      <c r="A59" s="76" t="s">
        <v>88</v>
      </c>
      <c r="B59" s="360">
        <v>100</v>
      </c>
      <c r="C59" s="53"/>
      <c r="D59" s="121" t="s">
        <v>89</v>
      </c>
      <c r="E59" s="122" t="s">
        <v>61</v>
      </c>
      <c r="F59" s="122" t="s">
        <v>62</v>
      </c>
      <c r="G59" s="122" t="s">
        <v>90</v>
      </c>
      <c r="H59" s="80" t="s">
        <v>91</v>
      </c>
      <c r="L59" s="66"/>
    </row>
    <row r="60" spans="1:12" s="4" customFormat="1" ht="26.25" customHeight="1" x14ac:dyDescent="0.4">
      <c r="A60" s="78" t="s">
        <v>92</v>
      </c>
      <c r="B60" s="361">
        <v>2</v>
      </c>
      <c r="C60" s="494" t="s">
        <v>93</v>
      </c>
      <c r="D60" s="497">
        <v>101.18</v>
      </c>
      <c r="E60" s="261">
        <v>1</v>
      </c>
      <c r="F60" s="368">
        <v>7767401</v>
      </c>
      <c r="G60" s="200">
        <f>IF(ISBLANK(F60),"-",(F60/$D$50*$D$47*$B$68)*($B$57/$D$60))</f>
        <v>486.23859306084154</v>
      </c>
      <c r="H60" s="123">
        <f t="shared" ref="H60:H71" si="0">IF(ISBLANK(F60),"-",G60/$B$56)</f>
        <v>1.0129970688767531</v>
      </c>
      <c r="L60" s="66"/>
    </row>
    <row r="61" spans="1:12" s="4" customFormat="1" ht="26.25" customHeight="1" x14ac:dyDescent="0.4">
      <c r="A61" s="78" t="s">
        <v>94</v>
      </c>
      <c r="B61" s="361">
        <v>20</v>
      </c>
      <c r="C61" s="495"/>
      <c r="D61" s="498"/>
      <c r="E61" s="262">
        <v>2</v>
      </c>
      <c r="F61" s="363">
        <v>7763190</v>
      </c>
      <c r="G61" s="201">
        <f>IF(ISBLANK(F61),"-",(F61/$D$50*$D$47*$B$68)*($B$57/$D$60))</f>
        <v>485.97498484550948</v>
      </c>
      <c r="H61" s="124">
        <f t="shared" si="0"/>
        <v>1.0124478850948113</v>
      </c>
      <c r="L61" s="66"/>
    </row>
    <row r="62" spans="1:12" s="4" customFormat="1" ht="26.25" customHeight="1" x14ac:dyDescent="0.4">
      <c r="A62" s="78" t="s">
        <v>95</v>
      </c>
      <c r="B62" s="79">
        <v>1</v>
      </c>
      <c r="C62" s="495"/>
      <c r="D62" s="498"/>
      <c r="E62" s="262">
        <v>3</v>
      </c>
      <c r="F62" s="125">
        <v>7772185</v>
      </c>
      <c r="G62" s="201">
        <f>IF(ISBLANK(F62),"-",(F62/$D$50*$D$47*$B$68)*($B$57/$D$60))</f>
        <v>486.53807102383115</v>
      </c>
      <c r="H62" s="124">
        <f t="shared" si="0"/>
        <v>1.0136209812996482</v>
      </c>
      <c r="L62" s="66"/>
    </row>
    <row r="63" spans="1:12" ht="27" customHeight="1" thickBot="1" x14ac:dyDescent="0.45">
      <c r="A63" s="78" t="s">
        <v>96</v>
      </c>
      <c r="B63" s="79">
        <v>1</v>
      </c>
      <c r="C63" s="496"/>
      <c r="D63" s="499"/>
      <c r="E63" s="263">
        <v>4</v>
      </c>
      <c r="F63" s="369"/>
      <c r="G63" s="201" t="str">
        <f>IF(ISBLANK(F63),"-",(F63/$D$50*$D$47*$B$68)*($B$57/$D$60))</f>
        <v>-</v>
      </c>
      <c r="H63" s="124" t="str">
        <f t="shared" si="0"/>
        <v>-</v>
      </c>
    </row>
    <row r="64" spans="1:12" ht="26.25" customHeight="1" x14ac:dyDescent="0.4">
      <c r="A64" s="78" t="s">
        <v>97</v>
      </c>
      <c r="B64" s="79">
        <v>1</v>
      </c>
      <c r="C64" s="494" t="s">
        <v>98</v>
      </c>
      <c r="D64" s="497">
        <v>105.74</v>
      </c>
      <c r="E64" s="261">
        <v>1</v>
      </c>
      <c r="F64" s="368">
        <v>7948996</v>
      </c>
      <c r="G64" s="202">
        <f>IF(ISBLANK(F64),"-",(F64/$D$50*$D$47*$B$68)*($B$57/$D$64))</f>
        <v>476.14732293305781</v>
      </c>
      <c r="H64" s="126">
        <f t="shared" si="0"/>
        <v>0.99197358944387048</v>
      </c>
    </row>
    <row r="65" spans="1:8" ht="26.25" customHeight="1" x14ac:dyDescent="0.4">
      <c r="A65" s="78" t="s">
        <v>99</v>
      </c>
      <c r="B65" s="79">
        <v>1</v>
      </c>
      <c r="C65" s="495"/>
      <c r="D65" s="498"/>
      <c r="E65" s="262">
        <v>2</v>
      </c>
      <c r="F65" s="363">
        <v>7948407</v>
      </c>
      <c r="G65" s="203">
        <f>IF(ISBLANK(F65),"-",(F65/$D$50*$D$47*$B$68)*($B$57/$D$64))</f>
        <v>476.11204165059047</v>
      </c>
      <c r="H65" s="127">
        <f t="shared" si="0"/>
        <v>0.99190008677206343</v>
      </c>
    </row>
    <row r="66" spans="1:8" ht="26.25" customHeight="1" x14ac:dyDescent="0.4">
      <c r="A66" s="78" t="s">
        <v>100</v>
      </c>
      <c r="B66" s="79">
        <v>1</v>
      </c>
      <c r="C66" s="495"/>
      <c r="D66" s="498"/>
      <c r="E66" s="262">
        <v>3</v>
      </c>
      <c r="F66" s="363">
        <v>7954227</v>
      </c>
      <c r="G66" s="203">
        <f>IF(ISBLANK(F66),"-",(F66/$D$50*$D$47*$B$68)*($B$57/$D$64))</f>
        <v>476.46066145357827</v>
      </c>
      <c r="H66" s="127">
        <f t="shared" si="0"/>
        <v>0.99262637802828801</v>
      </c>
    </row>
    <row r="67" spans="1:8" ht="27" customHeight="1" thickBot="1" x14ac:dyDescent="0.45">
      <c r="A67" s="78" t="s">
        <v>101</v>
      </c>
      <c r="B67" s="79">
        <v>1</v>
      </c>
      <c r="C67" s="496"/>
      <c r="D67" s="499"/>
      <c r="E67" s="263">
        <v>4</v>
      </c>
      <c r="F67" s="369"/>
      <c r="G67" s="204" t="str">
        <f>IF(ISBLANK(F67),"-",(F67/$D$50*$D$47*$B$68)*($B$57/$D$64))</f>
        <v>-</v>
      </c>
      <c r="H67" s="128" t="str">
        <f t="shared" si="0"/>
        <v>-</v>
      </c>
    </row>
    <row r="68" spans="1:8" ht="26.25" customHeight="1" x14ac:dyDescent="0.4">
      <c r="A68" s="78" t="s">
        <v>102</v>
      </c>
      <c r="B68" s="129">
        <f>(B67/B66)*(B65/B64)*(B63/B62)*(B61/B60)*B59</f>
        <v>1000</v>
      </c>
      <c r="C68" s="494" t="s">
        <v>103</v>
      </c>
      <c r="D68" s="497">
        <v>102.07</v>
      </c>
      <c r="E68" s="261">
        <v>1</v>
      </c>
      <c r="F68" s="368">
        <v>7540703</v>
      </c>
      <c r="G68" s="202">
        <f>IF(ISBLANK(F68),"-",(F68/$D$50*$D$47*$B$68)*($B$57/$D$68))</f>
        <v>467.93129943486315</v>
      </c>
      <c r="H68" s="124">
        <f t="shared" si="0"/>
        <v>0.97485687382263153</v>
      </c>
    </row>
    <row r="69" spans="1:8" ht="27" customHeight="1" thickBot="1" x14ac:dyDescent="0.45">
      <c r="A69" s="113" t="s">
        <v>104</v>
      </c>
      <c r="B69" s="130">
        <f>(D47*B68)/B56*B57</f>
        <v>102.47106250000004</v>
      </c>
      <c r="C69" s="495"/>
      <c r="D69" s="498"/>
      <c r="E69" s="262">
        <v>2</v>
      </c>
      <c r="F69" s="363">
        <v>7552107</v>
      </c>
      <c r="G69" s="203">
        <f>IF(ISBLANK(F69),"-",(F69/$D$50*$D$47*$B$68)*($B$57/$D$68))</f>
        <v>468.63896403042611</v>
      </c>
      <c r="H69" s="124">
        <f t="shared" si="0"/>
        <v>0.97633117506338774</v>
      </c>
    </row>
    <row r="70" spans="1:8" ht="26.25" customHeight="1" x14ac:dyDescent="0.4">
      <c r="A70" s="501" t="s">
        <v>77</v>
      </c>
      <c r="B70" s="502"/>
      <c r="C70" s="495"/>
      <c r="D70" s="498"/>
      <c r="E70" s="262">
        <v>3</v>
      </c>
      <c r="F70" s="363">
        <v>7553224</v>
      </c>
      <c r="G70" s="203">
        <f>IF(ISBLANK(F70),"-",(F70/$D$50*$D$47*$B$68)*($B$57/$D$68))</f>
        <v>468.7082784247828</v>
      </c>
      <c r="H70" s="124">
        <f t="shared" si="0"/>
        <v>0.97647558005163082</v>
      </c>
    </row>
    <row r="71" spans="1:8" ht="27" customHeight="1" thickBot="1" x14ac:dyDescent="0.45">
      <c r="A71" s="503"/>
      <c r="B71" s="504"/>
      <c r="C71" s="500"/>
      <c r="D71" s="499"/>
      <c r="E71" s="263">
        <v>4</v>
      </c>
      <c r="F71" s="369"/>
      <c r="G71" s="204" t="str">
        <f>IF(ISBLANK(F71),"-",(F71/$D$50*$D$47*$B$68)*($B$57/$D$68))</f>
        <v>-</v>
      </c>
      <c r="H71" s="131" t="str">
        <f t="shared" si="0"/>
        <v>-</v>
      </c>
    </row>
    <row r="72" spans="1:8" ht="26.25" customHeight="1" x14ac:dyDescent="0.4">
      <c r="A72" s="132"/>
      <c r="B72" s="132"/>
      <c r="C72" s="132"/>
      <c r="D72" s="132"/>
      <c r="E72" s="132"/>
      <c r="F72" s="134" t="s">
        <v>70</v>
      </c>
      <c r="G72" s="210">
        <f>AVERAGE(G60:G71)</f>
        <v>476.97224631749788</v>
      </c>
      <c r="H72" s="135">
        <f>AVERAGE(H60:H71)</f>
        <v>0.99369217982812053</v>
      </c>
    </row>
    <row r="73" spans="1:8" ht="26.25" customHeight="1" x14ac:dyDescent="0.4">
      <c r="C73" s="132"/>
      <c r="D73" s="132"/>
      <c r="E73" s="132"/>
      <c r="F73" s="136" t="s">
        <v>83</v>
      </c>
      <c r="G73" s="205">
        <f>STDEV(G60:G71)/G72</f>
        <v>1.6232713788985595E-2</v>
      </c>
      <c r="H73" s="205">
        <f>STDEV(H60:H71)/H72</f>
        <v>1.6232713788985567E-2</v>
      </c>
    </row>
    <row r="74" spans="1:8" ht="27" customHeight="1" x14ac:dyDescent="0.4">
      <c r="A74" s="132"/>
      <c r="B74" s="132"/>
      <c r="C74" s="133"/>
      <c r="D74" s="133"/>
      <c r="E74" s="137"/>
      <c r="F74" s="138" t="s">
        <v>19</v>
      </c>
      <c r="G74" s="139">
        <f>COUNT(G60:G71)</f>
        <v>9</v>
      </c>
      <c r="H74" s="139">
        <f>COUNT(H60:H71)</f>
        <v>9</v>
      </c>
    </row>
    <row r="76" spans="1:8" ht="26.25" customHeight="1" x14ac:dyDescent="0.4">
      <c r="A76" s="62" t="s">
        <v>105</v>
      </c>
      <c r="B76" s="140" t="s">
        <v>106</v>
      </c>
      <c r="C76" s="491" t="str">
        <f>B20</f>
        <v>Artemether 80mg, Lumefantrine 480mg</v>
      </c>
      <c r="D76" s="491"/>
      <c r="E76" s="141" t="s">
        <v>107</v>
      </c>
      <c r="F76" s="141"/>
      <c r="G76" s="142">
        <f>H72</f>
        <v>0.99369217982812053</v>
      </c>
      <c r="H76" s="143"/>
    </row>
    <row r="77" spans="1:8" ht="18.75" x14ac:dyDescent="0.3">
      <c r="A77" s="61" t="s">
        <v>108</v>
      </c>
      <c r="B77" s="61" t="s">
        <v>109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505" t="str">
        <f>B26</f>
        <v>LUMEFANTRINE</v>
      </c>
      <c r="C79" s="505"/>
    </row>
    <row r="80" spans="1:8" ht="26.25" customHeight="1" x14ac:dyDescent="0.4">
      <c r="A80" s="63" t="s">
        <v>47</v>
      </c>
      <c r="B80" s="505" t="str">
        <f>B27</f>
        <v>WS/14/046</v>
      </c>
      <c r="C80" s="505"/>
    </row>
    <row r="81" spans="1:12" ht="27" customHeight="1" x14ac:dyDescent="0.4">
      <c r="A81" s="63" t="s">
        <v>6</v>
      </c>
      <c r="B81" s="144">
        <f>B28</f>
        <v>100.2</v>
      </c>
    </row>
    <row r="82" spans="1:12" s="4" customFormat="1" ht="27" customHeight="1" x14ac:dyDescent="0.4">
      <c r="A82" s="63" t="s">
        <v>48</v>
      </c>
      <c r="B82" s="65">
        <v>0</v>
      </c>
      <c r="C82" s="506" t="s">
        <v>49</v>
      </c>
      <c r="D82" s="507"/>
      <c r="E82" s="507"/>
      <c r="F82" s="507"/>
      <c r="G82" s="508"/>
      <c r="I82" s="66"/>
      <c r="J82" s="66"/>
      <c r="K82" s="66"/>
      <c r="L82" s="66"/>
    </row>
    <row r="83" spans="1:12" s="4" customFormat="1" ht="19.5" customHeight="1" x14ac:dyDescent="0.3">
      <c r="A83" s="63" t="s">
        <v>50</v>
      </c>
      <c r="B83" s="67">
        <f>B81-B82</f>
        <v>100.2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" customFormat="1" ht="27" customHeight="1" x14ac:dyDescent="0.4">
      <c r="A84" s="63" t="s">
        <v>51</v>
      </c>
      <c r="B84" s="70">
        <v>1</v>
      </c>
      <c r="C84" s="509" t="s">
        <v>110</v>
      </c>
      <c r="D84" s="510"/>
      <c r="E84" s="510"/>
      <c r="F84" s="510"/>
      <c r="G84" s="510"/>
      <c r="H84" s="511"/>
      <c r="I84" s="66"/>
      <c r="J84" s="66"/>
      <c r="K84" s="66"/>
      <c r="L84" s="66"/>
    </row>
    <row r="85" spans="1:12" s="4" customFormat="1" ht="27" customHeight="1" x14ac:dyDescent="0.4">
      <c r="A85" s="63" t="s">
        <v>53</v>
      </c>
      <c r="B85" s="70">
        <v>1</v>
      </c>
      <c r="C85" s="509" t="s">
        <v>111</v>
      </c>
      <c r="D85" s="510"/>
      <c r="E85" s="510"/>
      <c r="F85" s="510"/>
      <c r="G85" s="510"/>
      <c r="H85" s="511"/>
      <c r="I85" s="66"/>
      <c r="J85" s="66"/>
      <c r="K85" s="66"/>
      <c r="L85" s="66"/>
    </row>
    <row r="86" spans="1:12" s="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" customFormat="1" ht="18.75" x14ac:dyDescent="0.3">
      <c r="A87" s="63" t="s">
        <v>55</v>
      </c>
      <c r="B87" s="75">
        <f>B84/B85</f>
        <v>1</v>
      </c>
      <c r="C87" s="53" t="s">
        <v>56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57</v>
      </c>
      <c r="B89" s="360">
        <v>50</v>
      </c>
      <c r="D89" s="145" t="s">
        <v>58</v>
      </c>
      <c r="E89" s="146"/>
      <c r="F89" s="492" t="s">
        <v>59</v>
      </c>
      <c r="G89" s="493"/>
    </row>
    <row r="90" spans="1:12" ht="27" customHeight="1" x14ac:dyDescent="0.4">
      <c r="A90" s="78" t="s">
        <v>60</v>
      </c>
      <c r="B90" s="361">
        <v>5</v>
      </c>
      <c r="C90" s="147" t="s">
        <v>61</v>
      </c>
      <c r="D90" s="81" t="s">
        <v>62</v>
      </c>
      <c r="E90" s="82" t="s">
        <v>63</v>
      </c>
      <c r="F90" s="81" t="s">
        <v>62</v>
      </c>
      <c r="G90" s="148" t="s">
        <v>63</v>
      </c>
      <c r="I90" s="84" t="s">
        <v>64</v>
      </c>
    </row>
    <row r="91" spans="1:12" ht="26.25" customHeight="1" x14ac:dyDescent="0.4">
      <c r="A91" s="78" t="s">
        <v>65</v>
      </c>
      <c r="B91" s="361">
        <v>100</v>
      </c>
      <c r="C91" s="149">
        <v>1</v>
      </c>
      <c r="D91" s="362">
        <v>0.69330000000000003</v>
      </c>
      <c r="E91" s="307">
        <f>IF(ISBLANK(D91),"-",$D$101/$D$98*D91)</f>
        <v>0.67122021115408637</v>
      </c>
      <c r="F91" s="362">
        <v>0.7298</v>
      </c>
      <c r="G91" s="310">
        <f>IF(ISBLANK(F91),"-",$D$101/$F$98*F91)</f>
        <v>0.66414283894217641</v>
      </c>
      <c r="I91" s="86"/>
    </row>
    <row r="92" spans="1:12" ht="26.25" customHeight="1" x14ac:dyDescent="0.4">
      <c r="A92" s="78" t="s">
        <v>66</v>
      </c>
      <c r="B92" s="79">
        <v>1</v>
      </c>
      <c r="C92" s="133">
        <v>2</v>
      </c>
      <c r="D92" s="363">
        <v>0.69730000000000003</v>
      </c>
      <c r="E92" s="308">
        <f>IF(ISBLANK(D92),"-",$D$101/$D$98*D92)</f>
        <v>0.67509282163240225</v>
      </c>
      <c r="F92" s="363">
        <v>0.72430000000000005</v>
      </c>
      <c r="G92" s="311">
        <f>IF(ISBLANK(F92),"-",$D$101/$F$98*F92)</f>
        <v>0.6591376517481754</v>
      </c>
      <c r="I92" s="520">
        <f>ABS((F96/D96*D95)-F95)/D95</f>
        <v>1.8727963452290424E-2</v>
      </c>
    </row>
    <row r="93" spans="1:12" ht="26.25" customHeight="1" x14ac:dyDescent="0.4">
      <c r="A93" s="78" t="s">
        <v>67</v>
      </c>
      <c r="B93" s="79">
        <v>1</v>
      </c>
      <c r="C93" s="133">
        <v>3</v>
      </c>
      <c r="D93" s="363">
        <v>0.69420000000000004</v>
      </c>
      <c r="E93" s="308">
        <f>IF(ISBLANK(D93),"-",$D$101/$D$98*D93)</f>
        <v>0.67209154851170749</v>
      </c>
      <c r="F93" s="363">
        <v>0.7248</v>
      </c>
      <c r="G93" s="311">
        <f>IF(ISBLANK(F93),"-",$D$101/$F$98*F93)</f>
        <v>0.6595926687658118</v>
      </c>
      <c r="I93" s="520"/>
    </row>
    <row r="94" spans="1:12" ht="27" customHeight="1" x14ac:dyDescent="0.4">
      <c r="A94" s="78" t="s">
        <v>68</v>
      </c>
      <c r="B94" s="79">
        <v>1</v>
      </c>
      <c r="C94" s="150">
        <v>4</v>
      </c>
      <c r="D94" s="364"/>
      <c r="E94" s="309" t="str">
        <f>IF(ISBLANK(D94),"-",$D$101/$D$98*D94)</f>
        <v>-</v>
      </c>
      <c r="F94" s="373"/>
      <c r="G94" s="312" t="str">
        <f>IF(ISBLANK(F94),"-",$D$101/$F$98*F94)</f>
        <v>-</v>
      </c>
      <c r="I94" s="90"/>
    </row>
    <row r="95" spans="1:12" ht="27" customHeight="1" x14ac:dyDescent="0.4">
      <c r="A95" s="78" t="s">
        <v>69</v>
      </c>
      <c r="B95" s="79">
        <v>1</v>
      </c>
      <c r="C95" s="151" t="s">
        <v>70</v>
      </c>
      <c r="D95" s="422">
        <f>AVERAGE(D91:D94)</f>
        <v>0.69493333333333329</v>
      </c>
      <c r="E95" s="268">
        <f>AVERAGE(E91:E94)</f>
        <v>0.67280152709939867</v>
      </c>
      <c r="F95" s="423">
        <f>AVERAGE(F91:F94)</f>
        <v>0.72630000000000006</v>
      </c>
      <c r="G95" s="152">
        <f>AVERAGE(G91:G94)</f>
        <v>0.6609577198187212</v>
      </c>
    </row>
    <row r="96" spans="1:12" ht="26.25" customHeight="1" x14ac:dyDescent="0.4">
      <c r="A96" s="78" t="s">
        <v>71</v>
      </c>
      <c r="B96" s="64">
        <v>1</v>
      </c>
      <c r="C96" s="153" t="s">
        <v>112</v>
      </c>
      <c r="D96" s="154">
        <v>24.74</v>
      </c>
      <c r="E96" s="355"/>
      <c r="F96" s="365">
        <v>26.32</v>
      </c>
      <c r="G96" s="326"/>
    </row>
    <row r="97" spans="1:10" ht="26.25" customHeight="1" x14ac:dyDescent="0.4">
      <c r="A97" s="78" t="s">
        <v>73</v>
      </c>
      <c r="B97" s="64">
        <v>1</v>
      </c>
      <c r="C97" s="155" t="s">
        <v>113</v>
      </c>
      <c r="D97" s="156">
        <f>D96*$B$87</f>
        <v>24.74</v>
      </c>
      <c r="E97" s="96"/>
      <c r="F97" s="95">
        <f>F96*$B$87</f>
        <v>26.32</v>
      </c>
    </row>
    <row r="98" spans="1:10" ht="19.5" customHeight="1" x14ac:dyDescent="0.3">
      <c r="A98" s="78" t="s">
        <v>75</v>
      </c>
      <c r="B98" s="157">
        <f>(B97/B96)*(B95/B94)*(B93/B92)*(B91/B90)*B89</f>
        <v>1000</v>
      </c>
      <c r="C98" s="155" t="s">
        <v>114</v>
      </c>
      <c r="D98" s="158">
        <f>D97*$B$83/100</f>
        <v>24.789479999999998</v>
      </c>
      <c r="E98" s="99"/>
      <c r="F98" s="98">
        <f>F97*$B$83/100</f>
        <v>26.372640000000001</v>
      </c>
    </row>
    <row r="99" spans="1:10" ht="19.5" customHeight="1" x14ac:dyDescent="0.3">
      <c r="A99" s="484" t="s">
        <v>77</v>
      </c>
      <c r="B99" s="485"/>
      <c r="C99" s="155" t="s">
        <v>115</v>
      </c>
      <c r="D99" s="159">
        <f>D98/$B$98</f>
        <v>2.4789479999999999E-2</v>
      </c>
      <c r="E99" s="99"/>
      <c r="F99" s="102">
        <f>F98/$B$98</f>
        <v>2.6372639999999999E-2</v>
      </c>
      <c r="G99" s="160"/>
      <c r="H99" s="92"/>
    </row>
    <row r="100" spans="1:10" ht="19.5" customHeight="1" x14ac:dyDescent="0.3">
      <c r="A100" s="486"/>
      <c r="B100" s="487"/>
      <c r="C100" s="155" t="s">
        <v>79</v>
      </c>
      <c r="D100" s="161">
        <f>$B$56/$B$116</f>
        <v>2.4E-2</v>
      </c>
      <c r="F100" s="107"/>
      <c r="G100" s="162"/>
      <c r="H100" s="92"/>
    </row>
    <row r="101" spans="1:10" ht="18.75" x14ac:dyDescent="0.3">
      <c r="C101" s="155" t="s">
        <v>80</v>
      </c>
      <c r="D101" s="156">
        <f>D100*$B$98</f>
        <v>24</v>
      </c>
      <c r="F101" s="107"/>
      <c r="G101" s="160"/>
      <c r="H101" s="92"/>
    </row>
    <row r="102" spans="1:10" ht="19.5" customHeight="1" x14ac:dyDescent="0.3">
      <c r="C102" s="163" t="s">
        <v>81</v>
      </c>
      <c r="D102" s="164">
        <f>D101/B34</f>
        <v>24</v>
      </c>
      <c r="F102" s="111"/>
      <c r="G102" s="160"/>
      <c r="H102" s="92"/>
      <c r="J102" s="165"/>
    </row>
    <row r="103" spans="1:10" ht="18.75" x14ac:dyDescent="0.3">
      <c r="C103" s="166" t="s">
        <v>116</v>
      </c>
      <c r="D103" s="167">
        <f>AVERAGE(E91:E94,G91:G94)</f>
        <v>0.66687962345906004</v>
      </c>
      <c r="F103" s="111"/>
      <c r="G103" s="168"/>
      <c r="H103" s="92"/>
      <c r="J103" s="169"/>
    </row>
    <row r="104" spans="1:10" ht="18.75" x14ac:dyDescent="0.3">
      <c r="C104" s="136" t="s">
        <v>83</v>
      </c>
      <c r="D104" s="170">
        <f>STDEV(E91:E94,G91:G94)/D103</f>
        <v>1.0258067700710903E-2</v>
      </c>
      <c r="F104" s="111"/>
      <c r="G104" s="160"/>
      <c r="H104" s="92"/>
      <c r="J104" s="169"/>
    </row>
    <row r="105" spans="1:10" ht="19.5" customHeight="1" x14ac:dyDescent="0.3">
      <c r="C105" s="138" t="s">
        <v>19</v>
      </c>
      <c r="D105" s="171">
        <f>COUNT(E91:E94,G91:G94)</f>
        <v>6</v>
      </c>
      <c r="F105" s="111"/>
      <c r="G105" s="160"/>
      <c r="H105" s="92"/>
      <c r="J105" s="169"/>
    </row>
    <row r="106" spans="1:10" ht="19.5" customHeight="1" x14ac:dyDescent="0.3">
      <c r="A106" s="115"/>
      <c r="B106" s="115"/>
      <c r="C106" s="115"/>
      <c r="D106" s="115"/>
      <c r="E106" s="115"/>
    </row>
    <row r="107" spans="1:10" ht="26.25" customHeight="1" x14ac:dyDescent="0.4">
      <c r="A107" s="76" t="s">
        <v>117</v>
      </c>
      <c r="B107" s="77">
        <v>1000</v>
      </c>
      <c r="C107" s="172" t="s">
        <v>118</v>
      </c>
      <c r="D107" s="173" t="s">
        <v>62</v>
      </c>
      <c r="E107" s="174" t="s">
        <v>119</v>
      </c>
      <c r="F107" s="175" t="s">
        <v>120</v>
      </c>
    </row>
    <row r="108" spans="1:10" ht="26.25" customHeight="1" x14ac:dyDescent="0.4">
      <c r="A108" s="78" t="s">
        <v>121</v>
      </c>
      <c r="B108" s="79">
        <v>5</v>
      </c>
      <c r="C108" s="176">
        <v>1</v>
      </c>
      <c r="D108" s="399">
        <v>0.6492</v>
      </c>
      <c r="E108" s="206">
        <f t="shared" ref="E108:E113" si="1">IF(ISBLANK(D108),"-",D108/$D$103*$D$100*$B$116)</f>
        <v>467.27473600658038</v>
      </c>
      <c r="F108" s="177">
        <f t="shared" ref="F108:F113" si="2">IF(ISBLANK(D108), "-", E108/$B$56)</f>
        <v>0.97348903334704251</v>
      </c>
    </row>
    <row r="109" spans="1:10" ht="26.25" customHeight="1" x14ac:dyDescent="0.4">
      <c r="A109" s="78" t="s">
        <v>94</v>
      </c>
      <c r="B109" s="79">
        <v>100</v>
      </c>
      <c r="C109" s="176">
        <v>2</v>
      </c>
      <c r="D109" s="399">
        <v>0.56299999999999994</v>
      </c>
      <c r="E109" s="207">
        <f t="shared" si="1"/>
        <v>405.23055510120878</v>
      </c>
      <c r="F109" s="178">
        <f t="shared" si="2"/>
        <v>0.84423032312751833</v>
      </c>
    </row>
    <row r="110" spans="1:10" ht="26.25" customHeight="1" x14ac:dyDescent="0.4">
      <c r="A110" s="78" t="s">
        <v>95</v>
      </c>
      <c r="B110" s="79">
        <v>1</v>
      </c>
      <c r="C110" s="176">
        <v>3</v>
      </c>
      <c r="D110" s="399">
        <v>0.60299999999999998</v>
      </c>
      <c r="E110" s="207">
        <f t="shared" si="1"/>
        <v>434.02135830555756</v>
      </c>
      <c r="F110" s="178">
        <f t="shared" si="2"/>
        <v>0.90421116313657823</v>
      </c>
    </row>
    <row r="111" spans="1:10" ht="26.25" customHeight="1" x14ac:dyDescent="0.4">
      <c r="A111" s="78" t="s">
        <v>96</v>
      </c>
      <c r="B111" s="79">
        <v>1</v>
      </c>
      <c r="C111" s="176">
        <v>4</v>
      </c>
      <c r="D111" s="399">
        <v>0.58840000000000003</v>
      </c>
      <c r="E111" s="207">
        <f t="shared" si="1"/>
        <v>423.51271513597027</v>
      </c>
      <c r="F111" s="178">
        <f t="shared" si="2"/>
        <v>0.88231815653327139</v>
      </c>
    </row>
    <row r="112" spans="1:10" ht="26.25" customHeight="1" x14ac:dyDescent="0.4">
      <c r="A112" s="78" t="s">
        <v>97</v>
      </c>
      <c r="B112" s="79">
        <v>1</v>
      </c>
      <c r="C112" s="176">
        <v>5</v>
      </c>
      <c r="D112" s="399">
        <v>0.57269999999999999</v>
      </c>
      <c r="E112" s="207">
        <f t="shared" si="1"/>
        <v>412.21232487826336</v>
      </c>
      <c r="F112" s="178">
        <f t="shared" si="2"/>
        <v>0.85877567682971534</v>
      </c>
    </row>
    <row r="113" spans="1:10" ht="26.25" customHeight="1" x14ac:dyDescent="0.4">
      <c r="A113" s="78" t="s">
        <v>99</v>
      </c>
      <c r="B113" s="79">
        <v>1</v>
      </c>
      <c r="C113" s="179">
        <v>6</v>
      </c>
      <c r="D113" s="400">
        <v>0.61639999999999995</v>
      </c>
      <c r="E113" s="208">
        <f t="shared" si="1"/>
        <v>443.66627737901433</v>
      </c>
      <c r="F113" s="180">
        <f t="shared" si="2"/>
        <v>0.9243047445396132</v>
      </c>
    </row>
    <row r="114" spans="1:10" ht="26.25" customHeight="1" x14ac:dyDescent="0.4">
      <c r="A114" s="78" t="s">
        <v>100</v>
      </c>
      <c r="B114" s="79">
        <v>1</v>
      </c>
      <c r="C114" s="176"/>
      <c r="D114" s="133"/>
      <c r="E114" s="52"/>
      <c r="F114" s="181"/>
    </row>
    <row r="115" spans="1:10" ht="26.25" customHeight="1" x14ac:dyDescent="0.4">
      <c r="A115" s="78" t="s">
        <v>101</v>
      </c>
      <c r="B115" s="79">
        <v>1</v>
      </c>
      <c r="C115" s="176"/>
      <c r="D115" s="182" t="s">
        <v>70</v>
      </c>
      <c r="E115" s="211">
        <f>AVERAGE(E108:E113)</f>
        <v>430.98632780109909</v>
      </c>
      <c r="F115" s="183">
        <f>AVERAGE(F108:F113)</f>
        <v>0.89788818291895645</v>
      </c>
    </row>
    <row r="116" spans="1:10" ht="27" customHeight="1" x14ac:dyDescent="0.4">
      <c r="A116" s="78" t="s">
        <v>102</v>
      </c>
      <c r="B116" s="97">
        <f>(B115/B114)*(B113/B112)*(B111/B110)*(B109/B108)*B107</f>
        <v>20000</v>
      </c>
      <c r="C116" s="184"/>
      <c r="D116" s="151" t="s">
        <v>83</v>
      </c>
      <c r="E116" s="185">
        <f>STDEV(E108:E113)/E115</f>
        <v>5.2486284224996071E-2</v>
      </c>
      <c r="F116" s="185">
        <f>STDEV(F108:F113)/F115</f>
        <v>5.2486284224996085E-2</v>
      </c>
      <c r="I116" s="52"/>
    </row>
    <row r="117" spans="1:10" ht="27" customHeight="1" x14ac:dyDescent="0.4">
      <c r="A117" s="484" t="s">
        <v>77</v>
      </c>
      <c r="B117" s="488"/>
      <c r="C117" s="186"/>
      <c r="D117" s="187" t="s">
        <v>19</v>
      </c>
      <c r="E117" s="188">
        <f>COUNT(E108:E113)</f>
        <v>6</v>
      </c>
      <c r="F117" s="188">
        <f>COUNT(F108:F113)</f>
        <v>6</v>
      </c>
      <c r="I117" s="52"/>
      <c r="J117" s="169"/>
    </row>
    <row r="118" spans="1:10" ht="19.5" customHeight="1" x14ac:dyDescent="0.3">
      <c r="A118" s="486"/>
      <c r="B118" s="489"/>
      <c r="C118" s="52"/>
      <c r="D118" s="52"/>
      <c r="E118" s="52"/>
      <c r="F118" s="133"/>
      <c r="G118" s="52"/>
      <c r="H118" s="52"/>
      <c r="I118" s="52"/>
    </row>
    <row r="119" spans="1:10" ht="18.75" x14ac:dyDescent="0.3">
      <c r="A119" s="197"/>
      <c r="B119" s="74"/>
      <c r="C119" s="52"/>
      <c r="D119" s="52"/>
      <c r="E119" s="52"/>
      <c r="F119" s="133"/>
      <c r="G119" s="52"/>
      <c r="H119" s="52"/>
      <c r="I119" s="52"/>
    </row>
    <row r="120" spans="1:10" ht="26.25" customHeight="1" x14ac:dyDescent="0.4">
      <c r="A120" s="62" t="s">
        <v>105</v>
      </c>
      <c r="B120" s="140" t="s">
        <v>122</v>
      </c>
      <c r="C120" s="491" t="str">
        <f>B20</f>
        <v>Artemether 80mg, Lumefantrine 480mg</v>
      </c>
      <c r="D120" s="491"/>
      <c r="E120" s="141" t="s">
        <v>123</v>
      </c>
      <c r="F120" s="141"/>
      <c r="G120" s="142">
        <f>F115</f>
        <v>0.89788818291895645</v>
      </c>
      <c r="H120" s="52"/>
      <c r="I120" s="52"/>
    </row>
    <row r="121" spans="1:10" ht="19.5" customHeight="1" x14ac:dyDescent="0.3">
      <c r="A121" s="189"/>
      <c r="B121" s="189"/>
      <c r="C121" s="190"/>
      <c r="D121" s="190"/>
      <c r="E121" s="190"/>
      <c r="F121" s="190"/>
      <c r="G121" s="190"/>
      <c r="H121" s="190"/>
    </row>
    <row r="122" spans="1:10" ht="18.75" x14ac:dyDescent="0.3">
      <c r="B122" s="483" t="s">
        <v>25</v>
      </c>
      <c r="C122" s="483"/>
      <c r="E122" s="147" t="s">
        <v>26</v>
      </c>
      <c r="F122" s="191"/>
      <c r="G122" s="483" t="s">
        <v>27</v>
      </c>
      <c r="H122" s="483"/>
    </row>
    <row r="123" spans="1:10" ht="69.95" customHeight="1" x14ac:dyDescent="0.3">
      <c r="A123" s="192" t="s">
        <v>28</v>
      </c>
      <c r="B123" s="193"/>
      <c r="C123" s="193"/>
      <c r="E123" s="193"/>
      <c r="F123" s="52"/>
      <c r="G123" s="194"/>
      <c r="H123" s="194"/>
    </row>
    <row r="124" spans="1:10" ht="69.95" customHeight="1" x14ac:dyDescent="0.3">
      <c r="A124" s="192" t="s">
        <v>29</v>
      </c>
      <c r="B124" s="195"/>
      <c r="C124" s="195"/>
      <c r="E124" s="195"/>
      <c r="F124" s="52"/>
      <c r="G124" s="196"/>
      <c r="H124" s="196"/>
    </row>
    <row r="125" spans="1:10" ht="18.75" x14ac:dyDescent="0.3">
      <c r="A125" s="132"/>
      <c r="B125" s="132"/>
      <c r="C125" s="133"/>
      <c r="D125" s="133"/>
      <c r="E125" s="133"/>
      <c r="F125" s="137"/>
      <c r="G125" s="133"/>
      <c r="H125" s="133"/>
      <c r="I125" s="52"/>
    </row>
    <row r="126" spans="1:10" ht="18.75" x14ac:dyDescent="0.3">
      <c r="A126" s="132"/>
      <c r="B126" s="132"/>
      <c r="C126" s="133"/>
      <c r="D126" s="133"/>
      <c r="E126" s="133"/>
      <c r="F126" s="137"/>
      <c r="G126" s="133"/>
      <c r="H126" s="133"/>
      <c r="I126" s="52"/>
    </row>
    <row r="127" spans="1:10" ht="18.75" x14ac:dyDescent="0.3">
      <c r="A127" s="132"/>
      <c r="B127" s="132"/>
      <c r="C127" s="133"/>
      <c r="D127" s="133"/>
      <c r="E127" s="133"/>
      <c r="F127" s="137"/>
      <c r="G127" s="133"/>
      <c r="H127" s="133"/>
      <c r="I127" s="52"/>
    </row>
    <row r="128" spans="1:10" ht="18.75" x14ac:dyDescent="0.3">
      <c r="A128" s="132"/>
      <c r="B128" s="132"/>
      <c r="C128" s="133"/>
      <c r="D128" s="133"/>
      <c r="E128" s="133"/>
      <c r="F128" s="137"/>
      <c r="G128" s="133"/>
      <c r="H128" s="133"/>
      <c r="I128" s="52"/>
    </row>
    <row r="129" spans="1:9" ht="18.75" x14ac:dyDescent="0.3">
      <c r="A129" s="132"/>
      <c r="B129" s="132"/>
      <c r="C129" s="133"/>
      <c r="D129" s="133"/>
      <c r="E129" s="133"/>
      <c r="F129" s="137"/>
      <c r="G129" s="133"/>
      <c r="H129" s="133"/>
      <c r="I129" s="52"/>
    </row>
    <row r="130" spans="1:9" ht="18.75" x14ac:dyDescent="0.3">
      <c r="A130" s="132"/>
      <c r="B130" s="132"/>
      <c r="C130" s="133"/>
      <c r="D130" s="133"/>
      <c r="E130" s="133"/>
      <c r="F130" s="137"/>
      <c r="G130" s="133"/>
      <c r="H130" s="133"/>
      <c r="I130" s="52"/>
    </row>
    <row r="131" spans="1:9" ht="18.75" x14ac:dyDescent="0.3">
      <c r="A131" s="132"/>
      <c r="B131" s="132"/>
      <c r="C131" s="133"/>
      <c r="D131" s="133"/>
      <c r="E131" s="133"/>
      <c r="F131" s="137"/>
      <c r="G131" s="133"/>
      <c r="H131" s="133"/>
      <c r="I131" s="52"/>
    </row>
    <row r="132" spans="1:9" ht="18.75" x14ac:dyDescent="0.3">
      <c r="A132" s="132"/>
      <c r="B132" s="132"/>
      <c r="C132" s="133"/>
      <c r="D132" s="133"/>
      <c r="E132" s="133"/>
      <c r="F132" s="137"/>
      <c r="G132" s="133"/>
      <c r="H132" s="133"/>
      <c r="I132" s="52"/>
    </row>
    <row r="133" spans="1:9" ht="18.75" x14ac:dyDescent="0.3">
      <c r="A133" s="132"/>
      <c r="B133" s="132"/>
      <c r="C133" s="133"/>
      <c r="D133" s="133"/>
      <c r="E133" s="133"/>
      <c r="F133" s="137"/>
      <c r="G133" s="133"/>
      <c r="H133" s="133"/>
      <c r="I133" s="5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</vt:lpstr>
      <vt:lpstr>Uniformity</vt:lpstr>
      <vt:lpstr>ARTEMETHER 1</vt:lpstr>
      <vt:lpstr>ARTEMETHER diss 2</vt:lpstr>
      <vt:lpstr>LUMEFANTRINE</vt:lpstr>
      <vt:lpstr>'ARTEMETHER 1'!Print_Area</vt:lpstr>
      <vt:lpstr>'ARTEMETHER diss 2'!Print_Area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2015-12-22T10:02:24Z</cp:lastPrinted>
  <dcterms:created xsi:type="dcterms:W3CDTF">2005-07-05T10:19:27Z</dcterms:created>
  <dcterms:modified xsi:type="dcterms:W3CDTF">2015-12-23T09:26:40Z</dcterms:modified>
  <cp:category/>
</cp:coreProperties>
</file>