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ARTEMETHER " sheetId="6" r:id="rId3"/>
    <sheet name="LUMEFANTRINE" sheetId="4" r:id="rId4"/>
  </sheets>
  <definedNames>
    <definedName name="_xlnm.Print_Area" localSheetId="2">'ARTEMETHER '!$A$1:$I$142</definedName>
    <definedName name="_xlnm.Print_Area" localSheetId="3">LUMEFANTRINE!$A$1:$H$124</definedName>
    <definedName name="_xlnm.Print_Area" localSheetId="0">SST!$A$1:$E$75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5" i="1" l="1"/>
  <c r="B56" i="1" s="1"/>
  <c r="B53" i="1"/>
  <c r="B54" i="1"/>
  <c r="B67" i="1"/>
  <c r="E65" i="1"/>
  <c r="D65" i="1"/>
  <c r="C65" i="1"/>
  <c r="B65" i="1"/>
  <c r="B66" i="1" s="1"/>
  <c r="D38" i="2" l="1"/>
  <c r="B33" i="1"/>
  <c r="B12" i="1"/>
  <c r="B11" i="1"/>
  <c r="B10" i="1"/>
  <c r="B9" i="1"/>
  <c r="F95" i="4"/>
  <c r="D95" i="4"/>
  <c r="G94" i="4"/>
  <c r="E94" i="4"/>
  <c r="F42" i="4"/>
  <c r="D42" i="4"/>
  <c r="G41" i="4"/>
  <c r="E41" i="4"/>
  <c r="F42" i="6"/>
  <c r="D42" i="6"/>
  <c r="G41" i="6"/>
  <c r="E41" i="6"/>
  <c r="F96" i="6" l="1"/>
  <c r="D96" i="6"/>
  <c r="G95" i="6"/>
  <c r="E95" i="6"/>
  <c r="C138" i="6"/>
  <c r="B134" i="6"/>
  <c r="C121" i="6"/>
  <c r="B117" i="6"/>
  <c r="D101" i="6" s="1"/>
  <c r="B99" i="6"/>
  <c r="D98" i="6"/>
  <c r="B87" i="6"/>
  <c r="F98" i="6" s="1"/>
  <c r="B82" i="6"/>
  <c r="B81" i="6"/>
  <c r="B80" i="6"/>
  <c r="B79" i="6"/>
  <c r="B31" i="1" s="1"/>
  <c r="C76" i="6"/>
  <c r="H71" i="6"/>
  <c r="G71" i="6"/>
  <c r="B68" i="6"/>
  <c r="H67" i="6"/>
  <c r="G67" i="6"/>
  <c r="H63" i="6"/>
  <c r="G63" i="6"/>
  <c r="C56" i="6"/>
  <c r="B55" i="6"/>
  <c r="B45" i="6"/>
  <c r="D48" i="6" s="1"/>
  <c r="D44" i="6"/>
  <c r="B34" i="6"/>
  <c r="F44" i="6" s="1"/>
  <c r="B30" i="6"/>
  <c r="C120" i="4"/>
  <c r="B116" i="4"/>
  <c r="D100" i="4" s="1"/>
  <c r="B98" i="4"/>
  <c r="I92" i="4"/>
  <c r="B87" i="4"/>
  <c r="F97" i="4" s="1"/>
  <c r="B81" i="4"/>
  <c r="B83" i="4" s="1"/>
  <c r="B80" i="4"/>
  <c r="B79" i="4"/>
  <c r="C76" i="4"/>
  <c r="B68" i="4"/>
  <c r="B69" i="4" s="1"/>
  <c r="B57" i="4"/>
  <c r="C56" i="4"/>
  <c r="B55" i="4"/>
  <c r="B45" i="4"/>
  <c r="D48" i="4" s="1"/>
  <c r="I39" i="4"/>
  <c r="B34" i="4"/>
  <c r="D44" i="4" s="1"/>
  <c r="B30" i="4"/>
  <c r="D50" i="2"/>
  <c r="D49" i="2"/>
  <c r="C49" i="2"/>
  <c r="B49" i="2"/>
  <c r="C46" i="2"/>
  <c r="B57" i="6" s="1"/>
  <c r="B69" i="6" s="1"/>
  <c r="C45" i="2"/>
  <c r="D43" i="2"/>
  <c r="D42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45" i="1"/>
  <c r="E43" i="1"/>
  <c r="D43" i="1"/>
  <c r="C43" i="1"/>
  <c r="B43" i="1"/>
  <c r="B44" i="1" s="1"/>
  <c r="B24" i="1"/>
  <c r="E22" i="1"/>
  <c r="D22" i="1"/>
  <c r="C22" i="1"/>
  <c r="B22" i="1"/>
  <c r="B23" i="1" s="1"/>
  <c r="B83" i="6" l="1"/>
  <c r="B32" i="1"/>
  <c r="D101" i="4"/>
  <c r="D102" i="4" s="1"/>
  <c r="F98" i="4"/>
  <c r="D45" i="4"/>
  <c r="D46" i="4" s="1"/>
  <c r="F45" i="6"/>
  <c r="F99" i="6"/>
  <c r="D102" i="6"/>
  <c r="D103" i="6" s="1"/>
  <c r="D45" i="6"/>
  <c r="D49" i="6"/>
  <c r="D49" i="4"/>
  <c r="C50" i="2"/>
  <c r="D99" i="6"/>
  <c r="D97" i="4"/>
  <c r="D98" i="4" s="1"/>
  <c r="F44" i="4"/>
  <c r="F45" i="4" s="1"/>
  <c r="E39" i="4" l="1"/>
  <c r="E38" i="4"/>
  <c r="E40" i="4"/>
  <c r="E92" i="4"/>
  <c r="E93" i="4"/>
  <c r="E91" i="4"/>
  <c r="F99" i="4"/>
  <c r="G93" i="4"/>
  <c r="G91" i="4"/>
  <c r="G92" i="4"/>
  <c r="E42" i="4"/>
  <c r="F46" i="4"/>
  <c r="G40" i="4"/>
  <c r="G38" i="4"/>
  <c r="G39" i="4"/>
  <c r="D52" i="4" s="1"/>
  <c r="E39" i="6"/>
  <c r="E40" i="6"/>
  <c r="E38" i="6"/>
  <c r="G40" i="6"/>
  <c r="D50" i="6" s="1"/>
  <c r="G38" i="6"/>
  <c r="G39" i="6"/>
  <c r="D46" i="6"/>
  <c r="B13" i="1" s="1"/>
  <c r="F46" i="6"/>
  <c r="F100" i="6"/>
  <c r="G93" i="6"/>
  <c r="G94" i="6"/>
  <c r="G92" i="6"/>
  <c r="D100" i="6"/>
  <c r="B34" i="1" s="1"/>
  <c r="E94" i="6"/>
  <c r="E92" i="6"/>
  <c r="E93" i="6"/>
  <c r="D99" i="4"/>
  <c r="E96" i="6" l="1"/>
  <c r="E42" i="6"/>
  <c r="E95" i="4"/>
  <c r="G95" i="4"/>
  <c r="D50" i="4"/>
  <c r="G60" i="4" s="1"/>
  <c r="G42" i="4"/>
  <c r="G42" i="6"/>
  <c r="G96" i="6"/>
  <c r="D104" i="6"/>
  <c r="E130" i="6" s="1"/>
  <c r="F130" i="6" s="1"/>
  <c r="D52" i="6"/>
  <c r="D105" i="4"/>
  <c r="D103" i="4"/>
  <c r="G70" i="6"/>
  <c r="H70" i="6" s="1"/>
  <c r="G65" i="6"/>
  <c r="H65" i="6" s="1"/>
  <c r="G61" i="6"/>
  <c r="H61" i="6" s="1"/>
  <c r="G69" i="6"/>
  <c r="H69" i="6" s="1"/>
  <c r="G60" i="6"/>
  <c r="H60" i="6" s="1"/>
  <c r="G68" i="6"/>
  <c r="H68" i="6" s="1"/>
  <c r="G64" i="6"/>
  <c r="H64" i="6" s="1"/>
  <c r="G62" i="6"/>
  <c r="H62" i="6" s="1"/>
  <c r="D51" i="6"/>
  <c r="G66" i="6"/>
  <c r="H66" i="6" s="1"/>
  <c r="D106" i="6"/>
  <c r="G63" i="4"/>
  <c r="H63" i="4" s="1"/>
  <c r="G71" i="4"/>
  <c r="H71" i="4" s="1"/>
  <c r="G67" i="4"/>
  <c r="H67" i="4" s="1"/>
  <c r="G61" i="4"/>
  <c r="H61" i="4" s="1"/>
  <c r="H74" i="6" l="1"/>
  <c r="H72" i="6"/>
  <c r="H73" i="6" s="1"/>
  <c r="G69" i="4"/>
  <c r="H69" i="4" s="1"/>
  <c r="G66" i="4"/>
  <c r="H66" i="4" s="1"/>
  <c r="G62" i="4"/>
  <c r="H62" i="4" s="1"/>
  <c r="G70" i="4"/>
  <c r="H70" i="4" s="1"/>
  <c r="G64" i="4"/>
  <c r="H64" i="4" s="1"/>
  <c r="G65" i="4"/>
  <c r="H65" i="4" s="1"/>
  <c r="G68" i="4"/>
  <c r="H68" i="4" s="1"/>
  <c r="D51" i="4"/>
  <c r="E111" i="6"/>
  <c r="F111" i="6" s="1"/>
  <c r="E131" i="6"/>
  <c r="F131" i="6" s="1"/>
  <c r="E114" i="6"/>
  <c r="F114" i="6" s="1"/>
  <c r="E113" i="6"/>
  <c r="F113" i="6" s="1"/>
  <c r="D105" i="6"/>
  <c r="E126" i="6"/>
  <c r="F126" i="6" s="1"/>
  <c r="E127" i="6"/>
  <c r="F127" i="6" s="1"/>
  <c r="E110" i="6"/>
  <c r="F110" i="6" s="1"/>
  <c r="E128" i="6"/>
  <c r="F128" i="6" s="1"/>
  <c r="E109" i="6"/>
  <c r="F109" i="6" s="1"/>
  <c r="E129" i="6"/>
  <c r="F129" i="6" s="1"/>
  <c r="E112" i="6"/>
  <c r="F112" i="6" s="1"/>
  <c r="H60" i="4"/>
  <c r="G72" i="4"/>
  <c r="G73" i="4" s="1"/>
  <c r="G74" i="4"/>
  <c r="E112" i="4"/>
  <c r="F112" i="4" s="1"/>
  <c r="E110" i="4"/>
  <c r="F110" i="4" s="1"/>
  <c r="E108" i="4"/>
  <c r="E113" i="4"/>
  <c r="F113" i="4" s="1"/>
  <c r="D104" i="4"/>
  <c r="E109" i="4"/>
  <c r="F109" i="4" s="1"/>
  <c r="E111" i="4"/>
  <c r="F111" i="4" s="1"/>
  <c r="F135" i="6" l="1"/>
  <c r="F118" i="6"/>
  <c r="F116" i="6"/>
  <c r="G121" i="6" s="1"/>
  <c r="F133" i="6"/>
  <c r="G138" i="6" s="1"/>
  <c r="G76" i="6"/>
  <c r="E115" i="4"/>
  <c r="E116" i="4" s="1"/>
  <c r="E117" i="4"/>
  <c r="F108" i="4"/>
  <c r="H72" i="4"/>
  <c r="H74" i="4"/>
  <c r="F117" i="6" l="1"/>
  <c r="F134" i="6"/>
  <c r="G76" i="4"/>
  <c r="H73" i="4"/>
  <c r="F117" i="4"/>
  <c r="F115" i="4"/>
  <c r="G120" i="4" l="1"/>
  <c r="F116" i="4"/>
</calcChain>
</file>

<file path=xl/sharedStrings.xml><?xml version="1.0" encoding="utf-8"?>
<sst xmlns="http://schemas.openxmlformats.org/spreadsheetml/2006/main" count="434" uniqueCount="158">
  <si>
    <t>HPLC System Suitability Report</t>
  </si>
  <si>
    <t>Analysis Data</t>
  </si>
  <si>
    <t>Assay</t>
  </si>
  <si>
    <t>Sample(s)</t>
  </si>
  <si>
    <t>Reference Substance:</t>
  </si>
  <si>
    <t>BI-CORTEM TABLETS</t>
  </si>
  <si>
    <t>% age Purity:</t>
  </si>
  <si>
    <t>NDQD201508189</t>
  </si>
  <si>
    <t>Weight (mg):</t>
  </si>
  <si>
    <t>Artemether &amp; Lumefantrine</t>
  </si>
  <si>
    <t>Standard Conc (mg/mL):</t>
  </si>
  <si>
    <t>Each tablet contains:
Artemether 20 mg
Lumefantrine 120 mg</t>
  </si>
  <si>
    <t>2015-09-01 14:00:51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</si>
  <si>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</si>
  <si>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</si>
  <si>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</si>
  <si>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</si>
  <si>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</si>
  <si>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</si>
  <si>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</si>
  <si>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</si>
  <si>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</si>
  <si>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</si>
  <si>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</si>
  <si>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</si>
  <si>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</si>
  <si>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</si>
  <si>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</si>
  <si>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</si>
  <si>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</si>
  <si>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</si>
  <si>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</si>
  <si>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</si>
  <si>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</si>
  <si>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</si>
  <si>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</si>
  <si>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</si>
  <si>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</si>
  <si>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</si>
  <si>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</si>
  <si>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</si>
  <si>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</si>
  <si>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</si>
  <si>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</si>
  <si>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</si>
  <si>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</si>
  <si>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</si>
  <si>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</si>
  <si>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</si>
  <si>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</si>
  <si>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</si>
  <si>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</si>
  <si>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</si>
  <si>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</si>
  <si>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</si>
  <si>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</si>
  <si>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</si>
  <si>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</si>
  <si>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</si>
  <si>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</si>
  <si>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</si>
  <si>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</si>
  <si>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</si>
  <si>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</si>
  <si>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</si>
  <si>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</si>
  <si>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</si>
  <si>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</si>
  <si>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</si>
  <si>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</si>
  <si>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</si>
  <si>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</si>
  <si>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</si>
  <si>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</si>
  <si>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</si>
  <si>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</si>
  <si>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</si>
  <si>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</si>
  <si>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</si>
  <si>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</si>
  <si>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</si>
  <si>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</si>
  <si>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</si>
  <si>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</si>
  <si>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</si>
  <si>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</si>
  <si>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</si>
  <si>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</si>
  <si>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</si>
  <si>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</si>
  <si>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</si>
  <si>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</si>
  <si>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</si>
  <si>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</si>
  <si>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</si>
  <si>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</si>
  <si>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</si>
  <si>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</si>
  <si>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</si>
  <si>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</si>
  <si>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</si>
  <si>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</si>
  <si>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</si>
  <si>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</si>
  <si>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</si>
  <si>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</si>
  <si>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</si>
  <si>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</si>
  <si>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</si>
  <si>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</si>
  <si>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</si>
  <si>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</si>
  <si>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</si>
  <si>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</si>
  <si>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</si>
  <si>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</si>
  <si>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</si>
  <si>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</si>
  <si>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</si>
  <si>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</si>
  <si>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</si>
  <si>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F0J018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</si>
  <si>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</si>
  <si>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</si>
  <si>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</si>
  <si>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</si>
  <si>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</si>
  <si>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</si>
  <si>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</si>
  <si>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</si>
  <si>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</si>
  <si>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</si>
  <si>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>ARTEMETHER</t>
  </si>
  <si>
    <t xml:space="preserve">Lumefantrine </t>
  </si>
  <si>
    <t>WS/14/046</t>
  </si>
  <si>
    <t>The RSD of the peak areas for six replicate injections of  SST Std is less than 2.0%.</t>
  </si>
  <si>
    <t>The number of Theoretical Plates (USP) for all peaks is greater than 2000</t>
  </si>
  <si>
    <t>The Assymetry of all peaks were below 2.0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</si>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</sst>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18"/>
      <color rgb="FF000000"/>
      <name val="Book Antiqua"/>
      <family val="1"/>
    </font>
    <font>
      <b/>
      <sz val="11"/>
      <color rgb="FF000000"/>
      <name val="Book Antiqua"/>
      <family val="1"/>
    </font>
    <font>
      <b/>
      <vertAlign val="superscript"/>
      <sz val="14"/>
      <color rgb="FF000000"/>
      <name val="Book Antiqua"/>
      <family val="1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FF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71" fontId="11" fillId="7" borderId="13" xfId="0" applyNumberFormat="1" applyFont="1" applyFill="1" applyBorder="1" applyAlignment="1">
      <alignment horizontal="center"/>
    </xf>
    <xf numFmtId="172" fontId="12" fillId="3" borderId="0" xfId="0" applyNumberFormat="1" applyFont="1" applyFill="1" applyAlignment="1" applyProtection="1">
      <alignment horizontal="center"/>
      <protection locked="0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171" fontId="11" fillId="6" borderId="15" xfId="0" applyNumberFormat="1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8" fillId="2" borderId="0" xfId="0" applyFont="1" applyFill="1" applyAlignment="1">
      <alignment horizontal="right" vertical="center" wrapText="1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left"/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righ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3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right"/>
    </xf>
    <xf numFmtId="0" fontId="10" fillId="2" borderId="24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0" fillId="2" borderId="45" xfId="0" applyFont="1" applyFill="1" applyBorder="1" applyAlignment="1">
      <alignment horizontal="right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13" xfId="0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171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10" fontId="11" fillId="6" borderId="41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/>
    <xf numFmtId="0" fontId="11" fillId="2" borderId="22" xfId="0" applyFont="1" applyFill="1" applyBorder="1" applyAlignment="1">
      <alignment horizontal="center" wrapText="1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0" fontId="10" fillId="2" borderId="23" xfId="0" applyFont="1" applyFill="1" applyBorder="1"/>
    <xf numFmtId="0" fontId="10" fillId="2" borderId="6" xfId="0" applyFont="1" applyFill="1" applyBorder="1"/>
    <xf numFmtId="0" fontId="10" fillId="2" borderId="0" xfId="0" applyFont="1" applyFill="1" applyAlignment="1">
      <alignment horizontal="right"/>
    </xf>
    <xf numFmtId="0" fontId="10" fillId="2" borderId="43" xfId="0" applyFont="1" applyFill="1" applyBorder="1"/>
    <xf numFmtId="0" fontId="10" fillId="2" borderId="59" xfId="0" applyFont="1" applyFill="1" applyBorder="1" applyAlignment="1">
      <alignment horizontal="center"/>
    </xf>
    <xf numFmtId="0" fontId="10" fillId="2" borderId="56" xfId="0" applyFont="1" applyFill="1" applyBorder="1" applyAlignment="1">
      <alignment horizontal="right"/>
    </xf>
    <xf numFmtId="1" fontId="11" fillId="6" borderId="50" xfId="0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0" fontId="10" fillId="2" borderId="13" xfId="0" applyNumberFormat="1" applyFont="1" applyFill="1" applyBorder="1" applyAlignment="1">
      <alignment horizontal="center" vertical="center"/>
    </xf>
    <xf numFmtId="10" fontId="10" fillId="2" borderId="14" xfId="0" applyNumberFormat="1" applyFont="1" applyFill="1" applyBorder="1" applyAlignment="1">
      <alignment horizontal="center" vertical="center"/>
    </xf>
    <xf numFmtId="10" fontId="10" fillId="2" borderId="15" xfId="0" applyNumberFormat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169" fontId="10" fillId="3" borderId="0" xfId="0" applyNumberFormat="1" applyFont="1" applyFill="1" applyAlignment="1" applyProtection="1">
      <alignment horizontal="left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171" fontId="10" fillId="2" borderId="35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1" fontId="11" fillId="6" borderId="15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7" xfId="0" applyFont="1" applyFill="1" applyBorder="1"/>
    <xf numFmtId="0" fontId="10" fillId="2" borderId="11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2" fontId="10" fillId="2" borderId="13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/>
    </xf>
    <xf numFmtId="2" fontId="10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10" fontId="10" fillId="2" borderId="24" xfId="0" applyNumberFormat="1" applyFont="1" applyFill="1" applyBorder="1" applyAlignment="1">
      <alignment horizontal="center"/>
    </xf>
    <xf numFmtId="10" fontId="10" fillId="2" borderId="33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0" fontId="10" fillId="2" borderId="7" xfId="0" applyFont="1" applyFill="1" applyBorder="1" applyProtection="1">
      <protection locked="0"/>
    </xf>
    <xf numFmtId="0" fontId="11" fillId="2" borderId="11" xfId="0" applyFont="1" applyFill="1" applyBorder="1" applyProtection="1">
      <protection locked="0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2" fontId="12" fillId="3" borderId="0" xfId="0" applyNumberFormat="1" applyFont="1" applyFill="1" applyAlignment="1" applyProtection="1">
      <alignment horizontal="center"/>
      <protection locked="0"/>
    </xf>
    <xf numFmtId="0" fontId="12" fillId="3" borderId="22" xfId="0" applyFont="1" applyFill="1" applyBorder="1" applyAlignment="1" applyProtection="1">
      <alignment horizontal="center"/>
      <protection locked="0"/>
    </xf>
    <xf numFmtId="0" fontId="12" fillId="3" borderId="24" xfId="0" applyFont="1" applyFill="1" applyBorder="1" applyAlignment="1" applyProtection="1">
      <alignment horizontal="center"/>
      <protection locked="0"/>
    </xf>
    <xf numFmtId="0" fontId="12" fillId="3" borderId="29" xfId="0" applyFont="1" applyFill="1" applyBorder="1" applyAlignment="1" applyProtection="1">
      <alignment horizontal="center"/>
      <protection locked="0"/>
    </xf>
    <xf numFmtId="0" fontId="12" fillId="3" borderId="23" xfId="0" applyFont="1" applyFill="1" applyBorder="1" applyAlignment="1" applyProtection="1">
      <alignment horizontal="center"/>
      <protection locked="0"/>
    </xf>
    <xf numFmtId="0" fontId="12" fillId="3" borderId="34" xfId="0" applyFont="1" applyFill="1" applyBorder="1" applyAlignment="1" applyProtection="1">
      <alignment horizontal="center"/>
      <protection locked="0"/>
    </xf>
    <xf numFmtId="0" fontId="12" fillId="3" borderId="52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27" xfId="0" applyFont="1" applyFill="1" applyBorder="1" applyAlignment="1" applyProtection="1">
      <alignment horizontal="center"/>
      <protection locked="0"/>
    </xf>
    <xf numFmtId="2" fontId="13" fillId="2" borderId="44" xfId="0" applyNumberFormat="1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2" fillId="3" borderId="43" xfId="0" applyFont="1" applyFill="1" applyBorder="1" applyAlignment="1" applyProtection="1">
      <alignment horizontal="center"/>
      <protection locked="0"/>
    </xf>
    <xf numFmtId="10" fontId="12" fillId="7" borderId="33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2" fillId="7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10" fillId="2" borderId="24" xfId="0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25" fillId="3" borderId="3" xfId="0" applyFont="1" applyFill="1" applyBorder="1" applyAlignment="1" applyProtection="1">
      <alignment horizontal="center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0" fontId="26" fillId="3" borderId="29" xfId="0" applyFont="1" applyFill="1" applyBorder="1" applyAlignment="1" applyProtection="1">
      <alignment horizontal="center"/>
      <protection locked="0"/>
    </xf>
    <xf numFmtId="2" fontId="12" fillId="3" borderId="52" xfId="0" applyNumberFormat="1" applyFont="1" applyFill="1" applyBorder="1" applyAlignment="1" applyProtection="1">
      <alignment horizontal="center"/>
      <protection locked="0"/>
    </xf>
    <xf numFmtId="166" fontId="12" fillId="3" borderId="31" xfId="0" applyNumberFormat="1" applyFont="1" applyFill="1" applyBorder="1" applyAlignment="1" applyProtection="1">
      <alignment horizontal="center"/>
      <protection locked="0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5" fillId="2" borderId="3" xfId="0" applyFont="1" applyFill="1" applyBorder="1" applyAlignment="1">
      <alignment horizontal="center"/>
    </xf>
    <xf numFmtId="0" fontId="27" fillId="3" borderId="3" xfId="0" applyFont="1" applyFill="1" applyBorder="1" applyAlignment="1" applyProtection="1">
      <alignment horizontal="center"/>
      <protection locked="0"/>
    </xf>
    <xf numFmtId="2" fontId="27" fillId="3" borderId="3" xfId="0" applyNumberFormat="1" applyFont="1" applyFill="1" applyBorder="1" applyAlignment="1" applyProtection="1">
      <alignment horizontal="center"/>
      <protection locked="0"/>
    </xf>
    <xf numFmtId="2" fontId="27" fillId="3" borderId="4" xfId="0" applyNumberFormat="1" applyFont="1" applyFill="1" applyBorder="1" applyAlignment="1" applyProtection="1">
      <alignment horizontal="center"/>
      <protection locked="0"/>
    </xf>
    <xf numFmtId="0" fontId="27" fillId="3" borderId="5" xfId="0" applyFont="1" applyFill="1" applyBorder="1" applyAlignment="1" applyProtection="1">
      <alignment horizontal="center"/>
      <protection locked="0"/>
    </xf>
    <xf numFmtId="2" fontId="27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1" fillId="2" borderId="9" xfId="0" applyFont="1" applyFill="1" applyBorder="1"/>
    <xf numFmtId="0" fontId="1" fillId="2" borderId="0" xfId="0" applyFont="1" applyFill="1" applyAlignment="1">
      <alignment horizontal="center"/>
    </xf>
    <xf numFmtId="10" fontId="1" fillId="2" borderId="9" xfId="0" applyNumberFormat="1" applyFont="1" applyFill="1" applyBorder="1"/>
    <xf numFmtId="0" fontId="1" fillId="2" borderId="7" xfId="0" applyFont="1" applyFill="1" applyBorder="1"/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9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2" fillId="2" borderId="0" xfId="0" applyFont="1" applyFill="1"/>
    <xf numFmtId="0" fontId="11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29" fillId="2" borderId="0" xfId="0" applyFont="1" applyFill="1"/>
    <xf numFmtId="0" fontId="18" fillId="2" borderId="0" xfId="0" applyFont="1" applyFill="1"/>
    <xf numFmtId="0" fontId="30" fillId="2" borderId="0" xfId="0" applyFont="1" applyFill="1"/>
    <xf numFmtId="0" fontId="11" fillId="2" borderId="28" xfId="0" applyFont="1" applyFill="1" applyBorder="1" applyAlignment="1">
      <alignment horizontal="center"/>
    </xf>
    <xf numFmtId="171" fontId="26" fillId="2" borderId="26" xfId="0" applyNumberFormat="1" applyFont="1" applyFill="1" applyBorder="1" applyAlignment="1">
      <alignment horizontal="center"/>
    </xf>
    <xf numFmtId="171" fontId="26" fillId="2" borderId="30" xfId="0" applyNumberFormat="1" applyFont="1" applyFill="1" applyBorder="1" applyAlignment="1">
      <alignment horizontal="center"/>
    </xf>
    <xf numFmtId="0" fontId="30" fillId="2" borderId="13" xfId="0" applyFont="1" applyFill="1" applyBorder="1"/>
    <xf numFmtId="171" fontId="26" fillId="2" borderId="31" xfId="0" applyNumberFormat="1" applyFont="1" applyFill="1" applyBorder="1" applyAlignment="1">
      <alignment horizontal="center"/>
    </xf>
    <xf numFmtId="171" fontId="26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171" fontId="26" fillId="2" borderId="35" xfId="0" applyNumberFormat="1" applyFont="1" applyFill="1" applyBorder="1" applyAlignment="1">
      <alignment horizontal="center"/>
    </xf>
    <xf numFmtId="171" fontId="26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66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166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/>
    </xf>
    <xf numFmtId="2" fontId="12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66" fontId="11" fillId="6" borderId="27" xfId="0" applyNumberFormat="1" applyFont="1" applyFill="1" applyBorder="1" applyAlignment="1">
      <alignment horizontal="center"/>
    </xf>
    <xf numFmtId="166" fontId="11" fillId="7" borderId="27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7" xfId="0" applyFont="1" applyFill="1" applyBorder="1"/>
    <xf numFmtId="10" fontId="31" fillId="2" borderId="14" xfId="0" applyNumberFormat="1" applyFont="1" applyFill="1" applyBorder="1" applyAlignment="1">
      <alignment horizontal="center"/>
    </xf>
    <xf numFmtId="164" fontId="11" fillId="6" borderId="49" xfId="0" applyNumberFormat="1" applyFont="1" applyFill="1" applyBorder="1" applyAlignment="1">
      <alignment horizontal="center"/>
    </xf>
    <xf numFmtId="164" fontId="11" fillId="6" borderId="50" xfId="0" applyNumberFormat="1" applyFont="1" applyFill="1" applyBorder="1" applyAlignment="1">
      <alignment horizontal="center"/>
    </xf>
    <xf numFmtId="10" fontId="10" fillId="8" borderId="14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3" xfId="0" applyFont="1" applyFill="1" applyBorder="1"/>
    <xf numFmtId="0" fontId="6" fillId="2" borderId="6" xfId="0" applyFont="1" applyFill="1" applyBorder="1"/>
    <xf numFmtId="0" fontId="6" fillId="2" borderId="5" xfId="0" applyFont="1" applyFill="1" applyBorder="1"/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1" fillId="2" borderId="10" xfId="0" applyFont="1" applyFill="1" applyBorder="1" applyAlignment="1"/>
    <xf numFmtId="0" fontId="3" fillId="2" borderId="0" xfId="0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4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10" fontId="14" fillId="2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75"/>
  <sheetViews>
    <sheetView view="pageBreakPreview" zoomScale="60" zoomScaleNormal="100" workbookViewId="0">
      <selection activeCell="E73" sqref="E73:E75"/>
    </sheetView>
  </sheetViews>
  <sheetFormatPr defaultRowHeight="15" x14ac:dyDescent="0.3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254"/>
  </cols>
  <sheetData>
    <row r="7" spans="1:5" ht="18.75" customHeight="1" x14ac:dyDescent="0.3">
      <c r="A7" s="379" t="s">
        <v>0</v>
      </c>
      <c r="B7" s="379"/>
      <c r="C7" s="379"/>
      <c r="D7" s="379"/>
      <c r="E7" s="379"/>
    </row>
    <row r="8" spans="1:5" ht="16.5" customHeight="1" x14ac:dyDescent="0.3">
      <c r="A8" s="57" t="s">
        <v>1</v>
      </c>
      <c r="B8" s="26" t="s">
        <v>2</v>
      </c>
    </row>
    <row r="9" spans="1:5" ht="16.5" customHeight="1" x14ac:dyDescent="0.3">
      <c r="A9" s="3" t="s">
        <v>3</v>
      </c>
      <c r="B9" s="3" t="str">
        <f>'ARTEMETHER '!B18:C18</f>
        <v>BI-CORTEM TABLETS</v>
      </c>
      <c r="D9" s="4"/>
      <c r="E9" s="42"/>
    </row>
    <row r="10" spans="1:5" ht="16.5" customHeight="1" x14ac:dyDescent="0.3">
      <c r="A10" s="42" t="s">
        <v>4</v>
      </c>
      <c r="B10" s="3" t="str">
        <f>'ARTEMETHER '!B19</f>
        <v>NDQD201508189</v>
      </c>
      <c r="C10" s="42"/>
      <c r="D10" s="42"/>
      <c r="E10" s="42"/>
    </row>
    <row r="11" spans="1:5" ht="16.5" customHeight="1" x14ac:dyDescent="0.3">
      <c r="A11" s="42" t="s">
        <v>6</v>
      </c>
      <c r="B11" s="6">
        <f>'ARTEMETHER '!B28</f>
        <v>99.8</v>
      </c>
      <c r="C11" s="42"/>
      <c r="D11" s="42"/>
      <c r="E11" s="42"/>
    </row>
    <row r="12" spans="1:5" ht="16.5" customHeight="1" x14ac:dyDescent="0.3">
      <c r="A12" s="3" t="s">
        <v>8</v>
      </c>
      <c r="B12" s="6">
        <f>'ARTEMETHER '!D43</f>
        <v>23.61</v>
      </c>
      <c r="C12" s="42"/>
      <c r="D12" s="42"/>
      <c r="E12" s="42"/>
    </row>
    <row r="13" spans="1:5" ht="16.5" customHeight="1" x14ac:dyDescent="0.3">
      <c r="A13" s="3" t="s">
        <v>10</v>
      </c>
      <c r="B13" s="7">
        <f>'ARTEMETHER '!D46</f>
        <v>0.23562779999999997</v>
      </c>
      <c r="C13" s="42"/>
      <c r="D13" s="42"/>
      <c r="E13" s="42"/>
    </row>
    <row r="14" spans="1:5" ht="15.75" customHeight="1" x14ac:dyDescent="0.3">
      <c r="A14" s="42"/>
      <c r="B14" s="42"/>
      <c r="C14" s="42"/>
      <c r="D14" s="42"/>
      <c r="E14" s="42"/>
    </row>
    <row r="15" spans="1:5" ht="16.5" customHeight="1" x14ac:dyDescent="0.3">
      <c r="A15" s="9" t="s">
        <v>13</v>
      </c>
      <c r="B15" s="8" t="s">
        <v>14</v>
      </c>
      <c r="C15" s="9" t="s">
        <v>15</v>
      </c>
      <c r="D15" s="9" t="s">
        <v>16</v>
      </c>
      <c r="E15" s="9" t="s">
        <v>17</v>
      </c>
    </row>
    <row r="16" spans="1:5" ht="16.5" customHeight="1" x14ac:dyDescent="0.3">
      <c r="A16" s="255">
        <v>1</v>
      </c>
      <c r="B16" s="256">
        <v>2026186</v>
      </c>
      <c r="C16" s="257">
        <v>7004.27</v>
      </c>
      <c r="D16" s="257">
        <v>1.1000000000000001</v>
      </c>
      <c r="E16" s="258">
        <v>4.54</v>
      </c>
    </row>
    <row r="17" spans="1:5" ht="16.5" customHeight="1" x14ac:dyDescent="0.3">
      <c r="A17" s="255">
        <v>2</v>
      </c>
      <c r="B17" s="256">
        <v>2017378</v>
      </c>
      <c r="C17" s="257">
        <v>7048.34</v>
      </c>
      <c r="D17" s="257">
        <v>1.07</v>
      </c>
      <c r="E17" s="257">
        <v>4.55</v>
      </c>
    </row>
    <row r="18" spans="1:5" ht="16.5" customHeight="1" x14ac:dyDescent="0.3">
      <c r="A18" s="255">
        <v>3</v>
      </c>
      <c r="B18" s="256">
        <v>2021715</v>
      </c>
      <c r="C18" s="257">
        <v>7043.38</v>
      </c>
      <c r="D18" s="257">
        <v>1.0900000000000001</v>
      </c>
      <c r="E18" s="257">
        <v>4.55</v>
      </c>
    </row>
    <row r="19" spans="1:5" ht="16.5" customHeight="1" x14ac:dyDescent="0.3">
      <c r="A19" s="255">
        <v>4</v>
      </c>
      <c r="B19" s="256">
        <v>2019065</v>
      </c>
      <c r="C19" s="257">
        <v>7057.42</v>
      </c>
      <c r="D19" s="257">
        <v>1.08</v>
      </c>
      <c r="E19" s="257">
        <v>4.55</v>
      </c>
    </row>
    <row r="20" spans="1:5" ht="16.5" customHeight="1" x14ac:dyDescent="0.3">
      <c r="A20" s="255">
        <v>5</v>
      </c>
      <c r="B20" s="256">
        <v>2019791</v>
      </c>
      <c r="C20" s="257">
        <v>7060.7</v>
      </c>
      <c r="D20" s="257">
        <v>1.08</v>
      </c>
      <c r="E20" s="257">
        <v>4.55</v>
      </c>
    </row>
    <row r="21" spans="1:5" ht="16.5" customHeight="1" x14ac:dyDescent="0.3">
      <c r="A21" s="255">
        <v>6</v>
      </c>
      <c r="B21" s="259">
        <v>2021713</v>
      </c>
      <c r="C21" s="260">
        <v>7039.85</v>
      </c>
      <c r="D21" s="260">
        <v>1.0900000000000001</v>
      </c>
      <c r="E21" s="260">
        <v>4.55</v>
      </c>
    </row>
    <row r="22" spans="1:5" ht="16.5" customHeight="1" x14ac:dyDescent="0.3">
      <c r="A22" s="261" t="s">
        <v>18</v>
      </c>
      <c r="B22" s="10">
        <f>AVERAGE(B16:B21)</f>
        <v>2020974.6666666667</v>
      </c>
      <c r="C22" s="11">
        <f>AVERAGE(C16:C21)</f>
        <v>7042.3266666666668</v>
      </c>
      <c r="D22" s="12">
        <f>AVERAGE(D16:D21)</f>
        <v>1.085</v>
      </c>
      <c r="E22" s="12">
        <f>AVERAGE(E16:E21)</f>
        <v>4.5483333333333338</v>
      </c>
    </row>
    <row r="23" spans="1:5" ht="16.5" customHeight="1" x14ac:dyDescent="0.3">
      <c r="A23" s="262" t="s">
        <v>19</v>
      </c>
      <c r="B23" s="13">
        <f>(STDEV(B16:B21)/B22)</f>
        <v>1.5046662046228933E-3</v>
      </c>
      <c r="C23" s="14"/>
      <c r="D23" s="14"/>
      <c r="E23" s="263"/>
    </row>
    <row r="24" spans="1:5" s="1" customFormat="1" ht="16.5" customHeight="1" x14ac:dyDescent="0.3">
      <c r="A24" s="264" t="s">
        <v>20</v>
      </c>
      <c r="B24" s="15">
        <f>COUNT(B16:B21)</f>
        <v>6</v>
      </c>
      <c r="C24" s="16"/>
      <c r="D24" s="265"/>
      <c r="E24" s="266"/>
    </row>
    <row r="25" spans="1:5" s="1" customFormat="1" ht="15.75" customHeight="1" x14ac:dyDescent="0.3">
      <c r="A25" s="42"/>
      <c r="B25" s="42"/>
      <c r="C25" s="42"/>
      <c r="D25" s="42"/>
      <c r="E25" s="42"/>
    </row>
    <row r="26" spans="1:5" s="1" customFormat="1" ht="16.5" customHeight="1" x14ac:dyDescent="0.3">
      <c r="A26" s="42" t="s">
        <v>21</v>
      </c>
      <c r="B26" s="267" t="s">
        <v>135</v>
      </c>
      <c r="C26" s="268"/>
      <c r="D26" s="268"/>
      <c r="E26" s="268"/>
    </row>
    <row r="27" spans="1:5" ht="16.5" customHeight="1" x14ac:dyDescent="0.3">
      <c r="A27" s="42"/>
      <c r="B27" s="267" t="s">
        <v>136</v>
      </c>
      <c r="C27" s="268"/>
      <c r="D27" s="268"/>
      <c r="E27" s="268"/>
    </row>
    <row r="28" spans="1:5" ht="16.5" customHeight="1" x14ac:dyDescent="0.3">
      <c r="A28" s="42"/>
      <c r="B28" s="267" t="s">
        <v>137</v>
      </c>
      <c r="C28" s="268"/>
      <c r="D28" s="268"/>
      <c r="E28" s="268"/>
    </row>
    <row r="29" spans="1:5" ht="15.75" customHeight="1" x14ac:dyDescent="0.3">
      <c r="A29" s="42"/>
      <c r="B29" s="42"/>
      <c r="C29" s="42"/>
      <c r="D29" s="42"/>
      <c r="E29" s="42"/>
    </row>
    <row r="30" spans="1:5" ht="16.5" customHeight="1" x14ac:dyDescent="0.3">
      <c r="A30" s="57" t="s">
        <v>1</v>
      </c>
      <c r="B30" s="26" t="s">
        <v>22</v>
      </c>
    </row>
    <row r="31" spans="1:5" ht="16.5" customHeight="1" x14ac:dyDescent="0.3">
      <c r="A31" s="42" t="s">
        <v>4</v>
      </c>
      <c r="B31" s="3" t="str">
        <f>'ARTEMETHER '!B79:C79</f>
        <v>ARTEMETHER</v>
      </c>
      <c r="C31" s="42"/>
      <c r="D31" s="42"/>
      <c r="E31" s="42"/>
    </row>
    <row r="32" spans="1:5" ht="16.5" customHeight="1" x14ac:dyDescent="0.3">
      <c r="A32" s="42" t="s">
        <v>6</v>
      </c>
      <c r="B32" s="6">
        <f>'ARTEMETHER '!B81</f>
        <v>99.8</v>
      </c>
      <c r="C32" s="42"/>
      <c r="D32" s="42"/>
      <c r="E32" s="42"/>
    </row>
    <row r="33" spans="1:5" ht="16.5" customHeight="1" x14ac:dyDescent="0.3">
      <c r="A33" s="3" t="s">
        <v>8</v>
      </c>
      <c r="B33" s="6">
        <f>'ARTEMETHER '!D97</f>
        <v>23.92</v>
      </c>
      <c r="C33" s="42"/>
      <c r="D33" s="42"/>
      <c r="E33" s="42"/>
    </row>
    <row r="34" spans="1:5" ht="16.5" customHeight="1" x14ac:dyDescent="0.3">
      <c r="A34" s="3" t="s">
        <v>10</v>
      </c>
      <c r="B34" s="7">
        <f>'ARTEMETHER '!D100</f>
        <v>2.3872159999999996E-2</v>
      </c>
      <c r="C34" s="42"/>
      <c r="D34" s="42"/>
      <c r="E34" s="42"/>
    </row>
    <row r="35" spans="1:5" ht="15.75" customHeight="1" x14ac:dyDescent="0.3">
      <c r="A35" s="42"/>
      <c r="B35" s="42"/>
      <c r="C35" s="42"/>
      <c r="D35" s="42"/>
      <c r="E35" s="42"/>
    </row>
    <row r="36" spans="1:5" ht="16.5" customHeight="1" x14ac:dyDescent="0.3">
      <c r="A36" s="9" t="s">
        <v>13</v>
      </c>
      <c r="B36" s="8" t="s">
        <v>14</v>
      </c>
      <c r="C36" s="9" t="s">
        <v>15</v>
      </c>
      <c r="D36" s="9" t="s">
        <v>16</v>
      </c>
      <c r="E36" s="9" t="s">
        <v>17</v>
      </c>
    </row>
    <row r="37" spans="1:5" ht="16.5" customHeight="1" x14ac:dyDescent="0.3">
      <c r="A37" s="255">
        <v>1</v>
      </c>
      <c r="B37" s="256">
        <v>1567219</v>
      </c>
      <c r="C37" s="256">
        <v>12905.23</v>
      </c>
      <c r="D37" s="257">
        <v>0.98</v>
      </c>
      <c r="E37" s="258">
        <v>9.02</v>
      </c>
    </row>
    <row r="38" spans="1:5" ht="16.5" customHeight="1" x14ac:dyDescent="0.3">
      <c r="A38" s="255">
        <v>2</v>
      </c>
      <c r="B38" s="256">
        <v>1564818</v>
      </c>
      <c r="C38" s="256">
        <v>12730.26</v>
      </c>
      <c r="D38" s="257">
        <v>0.98</v>
      </c>
      <c r="E38" s="257">
        <v>9.02</v>
      </c>
    </row>
    <row r="39" spans="1:5" ht="16.5" customHeight="1" x14ac:dyDescent="0.3">
      <c r="A39" s="255">
        <v>3</v>
      </c>
      <c r="B39" s="256">
        <v>1566946</v>
      </c>
      <c r="C39" s="256">
        <v>12589.65</v>
      </c>
      <c r="D39" s="257">
        <v>0.97</v>
      </c>
      <c r="E39" s="257">
        <v>9.02</v>
      </c>
    </row>
    <row r="40" spans="1:5" ht="16.5" customHeight="1" x14ac:dyDescent="0.3">
      <c r="A40" s="255">
        <v>4</v>
      </c>
      <c r="B40" s="256">
        <v>1566543</v>
      </c>
      <c r="C40" s="256">
        <v>12508.57</v>
      </c>
      <c r="D40" s="257">
        <v>0.97</v>
      </c>
      <c r="E40" s="257">
        <v>9.02</v>
      </c>
    </row>
    <row r="41" spans="1:5" ht="16.5" customHeight="1" x14ac:dyDescent="0.3">
      <c r="A41" s="255">
        <v>5</v>
      </c>
      <c r="B41" s="256">
        <v>1564489</v>
      </c>
      <c r="C41" s="256">
        <v>12388.38</v>
      </c>
      <c r="D41" s="257">
        <v>0.97</v>
      </c>
      <c r="E41" s="257">
        <v>9.02</v>
      </c>
    </row>
    <row r="42" spans="1:5" ht="16.5" customHeight="1" x14ac:dyDescent="0.3">
      <c r="A42" s="255">
        <v>6</v>
      </c>
      <c r="B42" s="259">
        <v>1563373</v>
      </c>
      <c r="C42" s="259">
        <v>12421.91</v>
      </c>
      <c r="D42" s="260">
        <v>0.96</v>
      </c>
      <c r="E42" s="260">
        <v>9.02</v>
      </c>
    </row>
    <row r="43" spans="1:5" ht="16.5" customHeight="1" x14ac:dyDescent="0.3">
      <c r="A43" s="261" t="s">
        <v>18</v>
      </c>
      <c r="B43" s="10">
        <f>AVERAGE(B37:B42)</f>
        <v>1565564.6666666667</v>
      </c>
      <c r="C43" s="11">
        <f>AVERAGE(C37:C42)</f>
        <v>12590.666666666666</v>
      </c>
      <c r="D43" s="12">
        <f>AVERAGE(D37:D42)</f>
        <v>0.97166666666666657</v>
      </c>
      <c r="E43" s="12">
        <f>AVERAGE(E37:E42)</f>
        <v>9.0199999999999978</v>
      </c>
    </row>
    <row r="44" spans="1:5" ht="16.5" customHeight="1" x14ac:dyDescent="0.3">
      <c r="A44" s="262" t="s">
        <v>19</v>
      </c>
      <c r="B44" s="13">
        <f>(STDEV(B37:B42)/B43)</f>
        <v>9.9447864984795542E-4</v>
      </c>
      <c r="C44" s="14"/>
      <c r="D44" s="14"/>
      <c r="E44" s="263"/>
    </row>
    <row r="45" spans="1:5" s="1" customFormat="1" ht="16.5" customHeight="1" x14ac:dyDescent="0.3">
      <c r="A45" s="264" t="s">
        <v>20</v>
      </c>
      <c r="B45" s="15">
        <f>COUNT(B37:B42)</f>
        <v>6</v>
      </c>
      <c r="C45" s="16"/>
      <c r="D45" s="265"/>
      <c r="E45" s="266"/>
    </row>
    <row r="46" spans="1:5" s="1" customFormat="1" ht="15.75" customHeight="1" x14ac:dyDescent="0.3">
      <c r="A46" s="42"/>
      <c r="B46" s="42"/>
      <c r="C46" s="42"/>
      <c r="D46" s="42"/>
      <c r="E46" s="42"/>
    </row>
    <row r="47" spans="1:5" s="1" customFormat="1" ht="16.5" customHeight="1" x14ac:dyDescent="0.3">
      <c r="A47" s="42" t="s">
        <v>21</v>
      </c>
      <c r="B47" s="267" t="s">
        <v>135</v>
      </c>
      <c r="C47" s="268"/>
      <c r="D47" s="268"/>
      <c r="E47" s="268"/>
    </row>
    <row r="48" spans="1:5" ht="16.5" customHeight="1" x14ac:dyDescent="0.3">
      <c r="A48" s="42"/>
      <c r="B48" s="267" t="s">
        <v>136</v>
      </c>
      <c r="C48" s="268"/>
      <c r="D48" s="268"/>
      <c r="E48" s="268"/>
    </row>
    <row r="49" spans="1:5" ht="16.5" customHeight="1" x14ac:dyDescent="0.3">
      <c r="A49" s="42"/>
      <c r="B49" s="267" t="s">
        <v>137</v>
      </c>
      <c r="C49" s="268"/>
      <c r="D49" s="268"/>
      <c r="E49" s="268"/>
    </row>
    <row r="50" spans="1:5" ht="16.5" customHeight="1" x14ac:dyDescent="0.3">
      <c r="A50" s="42"/>
      <c r="B50" s="267"/>
      <c r="C50" s="268"/>
      <c r="D50" s="268"/>
      <c r="E50" s="268"/>
    </row>
    <row r="51" spans="1:5" ht="16.5" customHeight="1" x14ac:dyDescent="0.3">
      <c r="A51" s="57" t="s">
        <v>1</v>
      </c>
      <c r="B51" s="26" t="s">
        <v>2</v>
      </c>
      <c r="C51" s="184"/>
      <c r="D51" s="184"/>
      <c r="E51" s="184"/>
    </row>
    <row r="52" spans="1:5" ht="16.5" customHeight="1" x14ac:dyDescent="0.3">
      <c r="A52" s="3" t="s">
        <v>3</v>
      </c>
      <c r="B52" s="3" t="s">
        <v>5</v>
      </c>
      <c r="C52" s="184"/>
      <c r="D52" s="4"/>
      <c r="E52" s="39"/>
    </row>
    <row r="53" spans="1:5" ht="16.5" customHeight="1" x14ac:dyDescent="0.3">
      <c r="A53" s="42" t="s">
        <v>4</v>
      </c>
      <c r="B53" s="254" t="str">
        <f>LUMEFANTRINE!B26</f>
        <v xml:space="preserve">Lumefantrine </v>
      </c>
      <c r="C53" s="39"/>
      <c r="D53" s="39"/>
      <c r="E53" s="39"/>
    </row>
    <row r="54" spans="1:5" ht="16.5" customHeight="1" x14ac:dyDescent="0.3">
      <c r="A54" s="42" t="s">
        <v>6</v>
      </c>
      <c r="B54" s="6">
        <f>LUMEFANTRINE!B30</f>
        <v>100.2</v>
      </c>
      <c r="C54" s="39"/>
      <c r="D54" s="39"/>
      <c r="E54" s="39"/>
    </row>
    <row r="55" spans="1:5" ht="16.5" customHeight="1" x14ac:dyDescent="0.3">
      <c r="A55" s="3" t="s">
        <v>8</v>
      </c>
      <c r="B55" s="6">
        <f>LUMEFANTRINE!D43</f>
        <v>14.52</v>
      </c>
      <c r="C55" s="39"/>
      <c r="D55" s="39"/>
      <c r="E55" s="39"/>
    </row>
    <row r="56" spans="1:5" ht="16.5" customHeight="1" x14ac:dyDescent="0.3">
      <c r="A56" s="3" t="s">
        <v>10</v>
      </c>
      <c r="B56" s="7">
        <f>B55/LUMEFANTRINE!B45</f>
        <v>5.808E-2</v>
      </c>
      <c r="C56" s="39"/>
      <c r="D56" s="39"/>
      <c r="E56" s="39"/>
    </row>
    <row r="57" spans="1:5" ht="16.5" customHeight="1" x14ac:dyDescent="0.3">
      <c r="A57" s="39"/>
      <c r="B57" s="39"/>
      <c r="C57" s="39"/>
      <c r="D57" s="39"/>
      <c r="E57" s="39"/>
    </row>
    <row r="58" spans="1:5" ht="16.5" customHeight="1" x14ac:dyDescent="0.3">
      <c r="A58" s="9" t="s">
        <v>13</v>
      </c>
      <c r="B58" s="8" t="s">
        <v>14</v>
      </c>
      <c r="C58" s="9" t="s">
        <v>15</v>
      </c>
      <c r="D58" s="9" t="s">
        <v>16</v>
      </c>
      <c r="E58" s="9" t="s">
        <v>17</v>
      </c>
    </row>
    <row r="59" spans="1:5" ht="16.5" customHeight="1" x14ac:dyDescent="0.3">
      <c r="A59" s="370">
        <v>1</v>
      </c>
      <c r="B59" s="256">
        <v>7476000</v>
      </c>
      <c r="C59" s="257">
        <v>3926.73</v>
      </c>
      <c r="D59" s="257">
        <v>0.97</v>
      </c>
      <c r="E59" s="258">
        <v>3.8</v>
      </c>
    </row>
    <row r="60" spans="1:5" ht="16.5" customHeight="1" x14ac:dyDescent="0.3">
      <c r="A60" s="370">
        <v>2</v>
      </c>
      <c r="B60" s="256">
        <v>7495659</v>
      </c>
      <c r="C60" s="257">
        <v>3906.2</v>
      </c>
      <c r="D60" s="257">
        <v>0.97</v>
      </c>
      <c r="E60" s="257">
        <v>3.8</v>
      </c>
    </row>
    <row r="61" spans="1:5" ht="16.5" customHeight="1" x14ac:dyDescent="0.3">
      <c r="A61" s="370">
        <v>3</v>
      </c>
      <c r="B61" s="256">
        <v>7500415</v>
      </c>
      <c r="C61" s="257">
        <v>3890.42</v>
      </c>
      <c r="D61" s="257">
        <v>0.96</v>
      </c>
      <c r="E61" s="257">
        <v>3.8</v>
      </c>
    </row>
    <row r="62" spans="1:5" ht="16.5" customHeight="1" x14ac:dyDescent="0.3">
      <c r="A62" s="370">
        <v>4</v>
      </c>
      <c r="B62" s="256">
        <v>7507896</v>
      </c>
      <c r="C62" s="257">
        <v>3900.71</v>
      </c>
      <c r="D62" s="257">
        <v>0.96</v>
      </c>
      <c r="E62" s="257">
        <v>3.8</v>
      </c>
    </row>
    <row r="63" spans="1:5" ht="16.5" customHeight="1" x14ac:dyDescent="0.3">
      <c r="A63" s="370">
        <v>5</v>
      </c>
      <c r="B63" s="256">
        <v>7515115</v>
      </c>
      <c r="C63" s="257">
        <v>3894.7</v>
      </c>
      <c r="D63" s="257">
        <v>0.96</v>
      </c>
      <c r="E63" s="257">
        <v>3.8</v>
      </c>
    </row>
    <row r="64" spans="1:5" ht="16.5" customHeight="1" x14ac:dyDescent="0.3">
      <c r="A64" s="370">
        <v>6</v>
      </c>
      <c r="B64" s="259">
        <v>7507986</v>
      </c>
      <c r="C64" s="260">
        <v>3895.21</v>
      </c>
      <c r="D64" s="260">
        <v>0.98</v>
      </c>
      <c r="E64" s="260">
        <v>3.8</v>
      </c>
    </row>
    <row r="65" spans="1:7" ht="16.5" customHeight="1" x14ac:dyDescent="0.3">
      <c r="A65" s="371" t="s">
        <v>18</v>
      </c>
      <c r="B65" s="10">
        <f>AVERAGE(B59:B64)</f>
        <v>7500511.833333333</v>
      </c>
      <c r="C65" s="12">
        <f>AVERAGE(C59:C64)</f>
        <v>3902.3283333333334</v>
      </c>
      <c r="D65" s="12">
        <f>AVERAGE(D59:D64)</f>
        <v>0.96666666666666679</v>
      </c>
      <c r="E65" s="12">
        <f>AVERAGE(E59:E64)</f>
        <v>3.8000000000000003</v>
      </c>
    </row>
    <row r="66" spans="1:7" ht="16.5" customHeight="1" x14ac:dyDescent="0.3">
      <c r="A66" s="372" t="s">
        <v>19</v>
      </c>
      <c r="B66" s="13">
        <f>(STDEV(B59:B64)/B65)</f>
        <v>1.8358421819301941E-3</v>
      </c>
      <c r="C66" s="14"/>
      <c r="D66" s="14"/>
      <c r="E66" s="373"/>
    </row>
    <row r="67" spans="1:7" ht="16.5" customHeight="1" x14ac:dyDescent="0.3">
      <c r="A67" s="374" t="s">
        <v>20</v>
      </c>
      <c r="B67" s="15">
        <f>COUNT(B59:B64)</f>
        <v>6</v>
      </c>
      <c r="C67" s="16"/>
      <c r="D67" s="40"/>
      <c r="E67" s="375"/>
    </row>
    <row r="68" spans="1:7" ht="16.5" customHeight="1" x14ac:dyDescent="0.3">
      <c r="A68" s="39"/>
      <c r="B68" s="39"/>
      <c r="C68" s="39"/>
      <c r="D68" s="39"/>
      <c r="E68" s="39"/>
    </row>
    <row r="69" spans="1:7" ht="16.5" customHeight="1" x14ac:dyDescent="0.3">
      <c r="A69" s="42" t="s">
        <v>21</v>
      </c>
      <c r="B69" s="376" t="s">
        <v>155</v>
      </c>
      <c r="C69" s="377"/>
      <c r="D69" s="377"/>
      <c r="E69" s="377"/>
    </row>
    <row r="70" spans="1:7" ht="16.5" customHeight="1" x14ac:dyDescent="0.3">
      <c r="A70" s="42"/>
      <c r="B70" s="376" t="s">
        <v>156</v>
      </c>
      <c r="C70" s="377"/>
      <c r="D70" s="377"/>
      <c r="E70" s="377"/>
    </row>
    <row r="71" spans="1:7" ht="16.5" customHeight="1" x14ac:dyDescent="0.3">
      <c r="A71" s="42"/>
      <c r="B71" s="376" t="s">
        <v>157</v>
      </c>
      <c r="C71" s="377"/>
      <c r="D71" s="377"/>
      <c r="E71" s="377"/>
    </row>
    <row r="72" spans="1:7" ht="14.25" customHeight="1" thickBot="1" x14ac:dyDescent="0.35">
      <c r="A72" s="269"/>
      <c r="B72" s="270"/>
      <c r="D72" s="271"/>
      <c r="F72" s="254"/>
      <c r="G72" s="254"/>
    </row>
    <row r="73" spans="1:7" ht="15" customHeight="1" x14ac:dyDescent="0.3">
      <c r="B73" s="378" t="s">
        <v>23</v>
      </c>
      <c r="C73" s="241" t="s">
        <v>24</v>
      </c>
      <c r="E73" s="241" t="s">
        <v>25</v>
      </c>
      <c r="F73" s="241"/>
      <c r="G73" s="254"/>
    </row>
    <row r="74" spans="1:7" ht="15" customHeight="1" x14ac:dyDescent="0.3">
      <c r="A74" s="17" t="s">
        <v>26</v>
      </c>
      <c r="B74" s="272"/>
      <c r="C74" s="272"/>
      <c r="E74" s="272"/>
      <c r="G74" s="254"/>
    </row>
    <row r="75" spans="1:7" ht="15" customHeight="1" x14ac:dyDescent="0.3">
      <c r="A75" s="17" t="s">
        <v>27</v>
      </c>
      <c r="B75" s="18"/>
      <c r="C75" s="18"/>
      <c r="E75" s="18"/>
      <c r="G75" s="254"/>
    </row>
  </sheetData>
  <sheetProtection formatCells="0" formatColumns="0" formatRows="0" insertColumns="0" insertRows="0" insertHyperlinks="0" deleteColumns="0" deleteRows="0" sort="0" autoFilter="0" pivotTables="0"/>
  <mergeCells count="1">
    <mergeCell ref="A7:E7"/>
  </mergeCells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38" sqref="D3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83" t="s">
        <v>28</v>
      </c>
      <c r="B11" s="384"/>
      <c r="C11" s="384"/>
      <c r="D11" s="384"/>
      <c r="E11" s="384"/>
      <c r="F11" s="385"/>
      <c r="G11" s="58"/>
    </row>
    <row r="12" spans="1:7" ht="16.5" customHeight="1" x14ac:dyDescent="0.3">
      <c r="A12" s="382" t="s">
        <v>29</v>
      </c>
      <c r="B12" s="382"/>
      <c r="C12" s="382"/>
      <c r="D12" s="382"/>
      <c r="E12" s="382"/>
      <c r="F12" s="382"/>
      <c r="G12" s="57"/>
    </row>
    <row r="14" spans="1:7" ht="16.5" customHeight="1" x14ac:dyDescent="0.3">
      <c r="A14" s="387" t="s">
        <v>30</v>
      </c>
      <c r="B14" s="387"/>
      <c r="C14" s="27" t="s">
        <v>5</v>
      </c>
    </row>
    <row r="15" spans="1:7" ht="16.5" customHeight="1" x14ac:dyDescent="0.3">
      <c r="A15" s="387" t="s">
        <v>31</v>
      </c>
      <c r="B15" s="387"/>
      <c r="C15" s="27" t="s">
        <v>7</v>
      </c>
    </row>
    <row r="16" spans="1:7" ht="16.5" customHeight="1" x14ac:dyDescent="0.3">
      <c r="A16" s="387" t="s">
        <v>32</v>
      </c>
      <c r="B16" s="387"/>
      <c r="C16" s="27" t="s">
        <v>9</v>
      </c>
    </row>
    <row r="17" spans="1:5" ht="16.5" customHeight="1" x14ac:dyDescent="0.3">
      <c r="A17" s="387" t="s">
        <v>33</v>
      </c>
      <c r="B17" s="387"/>
      <c r="C17" s="27" t="s">
        <v>11</v>
      </c>
    </row>
    <row r="18" spans="1:5" ht="16.5" customHeight="1" x14ac:dyDescent="0.3">
      <c r="A18" s="387" t="s">
        <v>34</v>
      </c>
      <c r="B18" s="387"/>
      <c r="C18" s="64" t="s">
        <v>12</v>
      </c>
    </row>
    <row r="19" spans="1:5" ht="16.5" customHeight="1" x14ac:dyDescent="0.3">
      <c r="A19" s="387" t="s">
        <v>35</v>
      </c>
      <c r="B19" s="387"/>
      <c r="C19" s="64" t="e">
        <f>#REF!</f>
        <v>#REF!</v>
      </c>
    </row>
    <row r="20" spans="1:5" ht="16.5" customHeight="1" x14ac:dyDescent="0.3">
      <c r="A20" s="29"/>
      <c r="B20" s="29"/>
      <c r="C20" s="44"/>
    </row>
    <row r="21" spans="1:5" ht="16.5" customHeight="1" x14ac:dyDescent="0.3">
      <c r="A21" s="382" t="s">
        <v>1</v>
      </c>
      <c r="B21" s="382"/>
      <c r="C21" s="26" t="s">
        <v>36</v>
      </c>
      <c r="D21" s="33"/>
    </row>
    <row r="22" spans="1:5" ht="15.75" customHeight="1" x14ac:dyDescent="0.3">
      <c r="A22" s="386"/>
      <c r="B22" s="386"/>
      <c r="C22" s="24"/>
      <c r="D22" s="386"/>
      <c r="E22" s="386"/>
    </row>
    <row r="23" spans="1:5" ht="33.75" customHeight="1" x14ac:dyDescent="0.3">
      <c r="C23" s="53" t="s">
        <v>37</v>
      </c>
      <c r="D23" s="52" t="s">
        <v>38</v>
      </c>
      <c r="E23" s="19"/>
    </row>
    <row r="24" spans="1:5" ht="15.75" customHeight="1" x14ac:dyDescent="0.3">
      <c r="C24" s="62">
        <v>612.39</v>
      </c>
      <c r="D24" s="54">
        <f t="shared" ref="D24:D43" si="0">(C24-$C$46)/$C$46</f>
        <v>1.780627071911434E-3</v>
      </c>
      <c r="E24" s="20"/>
    </row>
    <row r="25" spans="1:5" ht="15.75" customHeight="1" x14ac:dyDescent="0.3">
      <c r="C25" s="62">
        <v>626.66999999999996</v>
      </c>
      <c r="D25" s="55">
        <f t="shared" si="0"/>
        <v>2.5140622098915252E-2</v>
      </c>
      <c r="E25" s="20"/>
    </row>
    <row r="26" spans="1:5" ht="15.75" customHeight="1" x14ac:dyDescent="0.3">
      <c r="C26" s="62">
        <v>594.72</v>
      </c>
      <c r="D26" s="55">
        <f t="shared" si="0"/>
        <v>-2.7124912993015549E-2</v>
      </c>
      <c r="E26" s="20"/>
    </row>
    <row r="27" spans="1:5" ht="15.75" customHeight="1" x14ac:dyDescent="0.3">
      <c r="C27" s="62">
        <v>615.74</v>
      </c>
      <c r="D27" s="55">
        <f t="shared" si="0"/>
        <v>7.2607379500951507E-3</v>
      </c>
      <c r="E27" s="20"/>
    </row>
    <row r="28" spans="1:5" ht="15.75" customHeight="1" x14ac:dyDescent="0.3">
      <c r="C28" s="62">
        <v>586.87</v>
      </c>
      <c r="D28" s="55">
        <f t="shared" si="0"/>
        <v>-3.9966366841893759E-2</v>
      </c>
      <c r="E28" s="20"/>
    </row>
    <row r="29" spans="1:5" ht="15.75" customHeight="1" x14ac:dyDescent="0.3">
      <c r="C29" s="62">
        <v>621.6</v>
      </c>
      <c r="D29" s="55">
        <f t="shared" si="0"/>
        <v>1.6846842351932893E-2</v>
      </c>
      <c r="E29" s="20"/>
    </row>
    <row r="30" spans="1:5" ht="15.75" customHeight="1" x14ac:dyDescent="0.3">
      <c r="C30" s="62">
        <v>623.82000000000005</v>
      </c>
      <c r="D30" s="55">
        <f t="shared" si="0"/>
        <v>2.0478438217475553E-2</v>
      </c>
      <c r="E30" s="20"/>
    </row>
    <row r="31" spans="1:5" ht="15.75" customHeight="1" x14ac:dyDescent="0.3">
      <c r="C31" s="62">
        <v>615.14</v>
      </c>
      <c r="D31" s="55">
        <f t="shared" si="0"/>
        <v>6.2792255540025143E-3</v>
      </c>
      <c r="E31" s="20"/>
    </row>
    <row r="32" spans="1:5" ht="15.75" customHeight="1" x14ac:dyDescent="0.3">
      <c r="C32" s="62">
        <v>614.59</v>
      </c>
      <c r="D32" s="55">
        <f t="shared" si="0"/>
        <v>5.3795058575843721E-3</v>
      </c>
      <c r="E32" s="20"/>
    </row>
    <row r="33" spans="1:7" ht="15.75" customHeight="1" x14ac:dyDescent="0.3">
      <c r="C33" s="62">
        <v>617.74</v>
      </c>
      <c r="D33" s="55">
        <f t="shared" si="0"/>
        <v>1.0532445937070482E-2</v>
      </c>
      <c r="E33" s="20"/>
    </row>
    <row r="34" spans="1:7" ht="15.75" customHeight="1" x14ac:dyDescent="0.3">
      <c r="C34" s="62">
        <v>604.61</v>
      </c>
      <c r="D34" s="55">
        <f t="shared" si="0"/>
        <v>-1.0946316997422559E-2</v>
      </c>
      <c r="E34" s="20"/>
    </row>
    <row r="35" spans="1:7" ht="15.75" customHeight="1" x14ac:dyDescent="0.3">
      <c r="C35" s="62">
        <v>611.85</v>
      </c>
      <c r="D35" s="55">
        <f t="shared" si="0"/>
        <v>8.9726591542815413E-4</v>
      </c>
      <c r="E35" s="20"/>
    </row>
    <row r="36" spans="1:7" ht="15.75" customHeight="1" x14ac:dyDescent="0.3">
      <c r="C36" s="62">
        <v>630.94000000000005</v>
      </c>
      <c r="D36" s="55">
        <f t="shared" si="0"/>
        <v>3.2125718651107742E-2</v>
      </c>
      <c r="E36" s="20"/>
    </row>
    <row r="37" spans="1:7" ht="15.75" customHeight="1" x14ac:dyDescent="0.3">
      <c r="C37" s="62">
        <v>618.74</v>
      </c>
      <c r="D37" s="55">
        <f t="shared" si="0"/>
        <v>1.2168299930558147E-2</v>
      </c>
      <c r="E37" s="20"/>
    </row>
    <row r="38" spans="1:7" ht="15.75" customHeight="1" x14ac:dyDescent="0.3">
      <c r="C38" s="62">
        <v>565.98</v>
      </c>
      <c r="D38" s="366">
        <f t="shared" si="0"/>
        <v>-7.4139356765851067E-2</v>
      </c>
      <c r="E38" s="20"/>
    </row>
    <row r="39" spans="1:7" ht="15.75" customHeight="1" x14ac:dyDescent="0.3">
      <c r="C39" s="62">
        <v>616.27</v>
      </c>
      <c r="D39" s="55">
        <f t="shared" si="0"/>
        <v>8.1277405666435685E-3</v>
      </c>
      <c r="E39" s="20"/>
    </row>
    <row r="40" spans="1:7" ht="15.75" customHeight="1" x14ac:dyDescent="0.3">
      <c r="C40" s="62">
        <v>624.36</v>
      </c>
      <c r="D40" s="55">
        <f t="shared" si="0"/>
        <v>2.1361799373958833E-2</v>
      </c>
      <c r="E40" s="20"/>
    </row>
    <row r="41" spans="1:7" ht="15.75" customHeight="1" x14ac:dyDescent="0.3">
      <c r="C41" s="62">
        <v>591.54999999999995</v>
      </c>
      <c r="D41" s="55">
        <f t="shared" si="0"/>
        <v>-3.2310570152371564E-2</v>
      </c>
      <c r="E41" s="20"/>
    </row>
    <row r="42" spans="1:7" ht="15.75" customHeight="1" x14ac:dyDescent="0.3">
      <c r="C42" s="62">
        <v>611.72</v>
      </c>
      <c r="D42" s="55">
        <f t="shared" si="0"/>
        <v>6.8460489627476502E-4</v>
      </c>
      <c r="E42" s="20"/>
    </row>
    <row r="43" spans="1:7" ht="16.5" customHeight="1" x14ac:dyDescent="0.3">
      <c r="C43" s="63">
        <v>620.73</v>
      </c>
      <c r="D43" s="56">
        <f t="shared" si="0"/>
        <v>1.5423649377598617E-2</v>
      </c>
      <c r="E43" s="20"/>
    </row>
    <row r="44" spans="1:7" ht="16.5" customHeight="1" x14ac:dyDescent="0.3">
      <c r="C44" s="21"/>
      <c r="D44" s="20"/>
      <c r="E44" s="22"/>
    </row>
    <row r="45" spans="1:7" ht="16.5" customHeight="1" x14ac:dyDescent="0.3">
      <c r="B45" s="49" t="s">
        <v>39</v>
      </c>
      <c r="C45" s="50">
        <f>SUM(C24:C44)</f>
        <v>12226.029999999999</v>
      </c>
      <c r="D45" s="45"/>
      <c r="E45" s="21"/>
    </row>
    <row r="46" spans="1:7" ht="17.25" customHeight="1" x14ac:dyDescent="0.3">
      <c r="B46" s="49" t="s">
        <v>40</v>
      </c>
      <c r="C46" s="51">
        <f>AVERAGE(C24:C44)</f>
        <v>611.30149999999992</v>
      </c>
      <c r="E46" s="23"/>
    </row>
    <row r="47" spans="1:7" ht="17.25" customHeight="1" x14ac:dyDescent="0.3">
      <c r="A47" s="27"/>
      <c r="B47" s="46"/>
      <c r="D47" s="25"/>
      <c r="E47" s="23"/>
    </row>
    <row r="48" spans="1:7" ht="33.75" customHeight="1" x14ac:dyDescent="0.3">
      <c r="B48" s="59" t="s">
        <v>40</v>
      </c>
      <c r="C48" s="52" t="s">
        <v>41</v>
      </c>
      <c r="D48" s="47"/>
      <c r="G48" s="25"/>
    </row>
    <row r="49" spans="1:6" ht="17.25" customHeight="1" x14ac:dyDescent="0.3">
      <c r="B49" s="380">
        <f>C46</f>
        <v>611.30149999999992</v>
      </c>
      <c r="C49" s="60">
        <f>-IF(C46&lt;=80,10%,IF(C46&lt;250,7.5%,5%))</f>
        <v>-0.05</v>
      </c>
      <c r="D49" s="48">
        <f>IF(C46&lt;=80,C46*0.9,IF(C46&lt;250,C46*0.925,C46*0.95))</f>
        <v>580.73642499999994</v>
      </c>
    </row>
    <row r="50" spans="1:6" ht="17.25" customHeight="1" x14ac:dyDescent="0.3">
      <c r="B50" s="381"/>
      <c r="C50" s="61">
        <f>IF(C46&lt;=80, 10%, IF(C46&lt;250, 7.5%, 5%))</f>
        <v>0.05</v>
      </c>
      <c r="D50" s="48">
        <f>IF(C46&lt;=80, C46*1.1, IF(C46&lt;250, C46*1.075, C46*1.05))</f>
        <v>641.8665749999999</v>
      </c>
    </row>
    <row r="51" spans="1:6" ht="16.5" customHeight="1" x14ac:dyDescent="0.3">
      <c r="A51" s="30"/>
      <c r="B51" s="31"/>
      <c r="C51" s="27"/>
      <c r="D51" s="32"/>
      <c r="E51" s="27"/>
      <c r="F51" s="33"/>
    </row>
    <row r="52" spans="1:6" ht="16.5" customHeight="1" x14ac:dyDescent="0.3">
      <c r="A52" s="27"/>
      <c r="B52" s="34" t="s">
        <v>23</v>
      </c>
      <c r="C52" s="34"/>
      <c r="D52" s="35" t="s">
        <v>24</v>
      </c>
      <c r="E52" s="36"/>
      <c r="F52" s="35" t="s">
        <v>25</v>
      </c>
    </row>
    <row r="53" spans="1:6" ht="34.5" customHeight="1" x14ac:dyDescent="0.3">
      <c r="A53" s="37" t="s">
        <v>26</v>
      </c>
      <c r="B53" s="38"/>
      <c r="C53" s="39"/>
      <c r="D53" s="38"/>
      <c r="E53" s="28"/>
      <c r="F53" s="40"/>
    </row>
    <row r="54" spans="1:6" ht="34.5" customHeight="1" x14ac:dyDescent="0.3">
      <c r="A54" s="37" t="s">
        <v>27</v>
      </c>
      <c r="B54" s="41"/>
      <c r="C54" s="42"/>
      <c r="D54" s="41"/>
      <c r="E54" s="28"/>
      <c r="F54" s="4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:D38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zoomScale="40" zoomScaleNormal="75" zoomScaleSheetLayoutView="40" zoomScalePageLayoutView="55" workbookViewId="0">
      <selection activeCell="B20" sqref="B20: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388" t="s">
        <v>42</v>
      </c>
      <c r="B1" s="388"/>
      <c r="C1" s="388"/>
      <c r="D1" s="388"/>
      <c r="E1" s="388"/>
      <c r="F1" s="388"/>
      <c r="G1" s="388"/>
      <c r="H1" s="388"/>
    </row>
    <row r="2" spans="1:8" x14ac:dyDescent="0.25">
      <c r="A2" s="388"/>
      <c r="B2" s="388"/>
      <c r="C2" s="388"/>
      <c r="D2" s="388"/>
      <c r="E2" s="388"/>
      <c r="F2" s="388"/>
      <c r="G2" s="388"/>
      <c r="H2" s="388"/>
    </row>
    <row r="3" spans="1:8" x14ac:dyDescent="0.25">
      <c r="A3" s="388"/>
      <c r="B3" s="388"/>
      <c r="C3" s="388"/>
      <c r="D3" s="388"/>
      <c r="E3" s="388"/>
      <c r="F3" s="388"/>
      <c r="G3" s="388"/>
      <c r="H3" s="388"/>
    </row>
    <row r="4" spans="1:8" x14ac:dyDescent="0.25">
      <c r="A4" s="388"/>
      <c r="B4" s="388"/>
      <c r="C4" s="388"/>
      <c r="D4" s="388"/>
      <c r="E4" s="388"/>
      <c r="F4" s="388"/>
      <c r="G4" s="388"/>
      <c r="H4" s="388"/>
    </row>
    <row r="5" spans="1:8" x14ac:dyDescent="0.25">
      <c r="A5" s="388"/>
      <c r="B5" s="388"/>
      <c r="C5" s="388"/>
      <c r="D5" s="388"/>
      <c r="E5" s="388"/>
      <c r="F5" s="388"/>
      <c r="G5" s="388"/>
      <c r="H5" s="388"/>
    </row>
    <row r="6" spans="1:8" x14ac:dyDescent="0.25">
      <c r="A6" s="388"/>
      <c r="B6" s="388"/>
      <c r="C6" s="388"/>
      <c r="D6" s="388"/>
      <c r="E6" s="388"/>
      <c r="F6" s="388"/>
      <c r="G6" s="388"/>
      <c r="H6" s="388"/>
    </row>
    <row r="7" spans="1:8" x14ac:dyDescent="0.25">
      <c r="A7" s="388"/>
      <c r="B7" s="388"/>
      <c r="C7" s="388"/>
      <c r="D7" s="388"/>
      <c r="E7" s="388"/>
      <c r="F7" s="388"/>
      <c r="G7" s="388"/>
      <c r="H7" s="388"/>
    </row>
    <row r="8" spans="1:8" x14ac:dyDescent="0.25">
      <c r="A8" s="389" t="s">
        <v>43</v>
      </c>
      <c r="B8" s="389"/>
      <c r="C8" s="389"/>
      <c r="D8" s="389"/>
      <c r="E8" s="389"/>
      <c r="F8" s="389"/>
      <c r="G8" s="389"/>
      <c r="H8" s="389"/>
    </row>
    <row r="9" spans="1:8" x14ac:dyDescent="0.25">
      <c r="A9" s="389"/>
      <c r="B9" s="389"/>
      <c r="C9" s="389"/>
      <c r="D9" s="389"/>
      <c r="E9" s="389"/>
      <c r="F9" s="389"/>
      <c r="G9" s="389"/>
      <c r="H9" s="389"/>
    </row>
    <row r="10" spans="1:8" x14ac:dyDescent="0.25">
      <c r="A10" s="389"/>
      <c r="B10" s="389"/>
      <c r="C10" s="389"/>
      <c r="D10" s="389"/>
      <c r="E10" s="389"/>
      <c r="F10" s="389"/>
      <c r="G10" s="389"/>
      <c r="H10" s="389"/>
    </row>
    <row r="11" spans="1:8" x14ac:dyDescent="0.25">
      <c r="A11" s="389"/>
      <c r="B11" s="389"/>
      <c r="C11" s="389"/>
      <c r="D11" s="389"/>
      <c r="E11" s="389"/>
      <c r="F11" s="389"/>
      <c r="G11" s="389"/>
      <c r="H11" s="389"/>
    </row>
    <row r="12" spans="1:8" x14ac:dyDescent="0.25">
      <c r="A12" s="389"/>
      <c r="B12" s="389"/>
      <c r="C12" s="389"/>
      <c r="D12" s="389"/>
      <c r="E12" s="389"/>
      <c r="F12" s="389"/>
      <c r="G12" s="389"/>
      <c r="H12" s="389"/>
    </row>
    <row r="13" spans="1:8" x14ac:dyDescent="0.25">
      <c r="A13" s="389"/>
      <c r="B13" s="389"/>
      <c r="C13" s="389"/>
      <c r="D13" s="389"/>
      <c r="E13" s="389"/>
      <c r="F13" s="389"/>
      <c r="G13" s="389"/>
      <c r="H13" s="389"/>
    </row>
    <row r="14" spans="1:8" x14ac:dyDescent="0.25">
      <c r="A14" s="389"/>
      <c r="B14" s="389"/>
      <c r="C14" s="389"/>
      <c r="D14" s="389"/>
      <c r="E14" s="389"/>
      <c r="F14" s="389"/>
      <c r="G14" s="389"/>
      <c r="H14" s="389"/>
    </row>
    <row r="15" spans="1:8" ht="19.5" customHeight="1" x14ac:dyDescent="0.25"/>
    <row r="16" spans="1:8" ht="19.5" customHeight="1" x14ac:dyDescent="0.25">
      <c r="A16" s="390" t="s">
        <v>28</v>
      </c>
      <c r="B16" s="391"/>
      <c r="C16" s="391"/>
      <c r="D16" s="391"/>
      <c r="E16" s="391"/>
      <c r="F16" s="391"/>
      <c r="G16" s="391"/>
      <c r="H16" s="392"/>
    </row>
    <row r="17" spans="1:13" ht="18.75" x14ac:dyDescent="0.3">
      <c r="A17" s="81" t="s">
        <v>44</v>
      </c>
      <c r="B17" s="81"/>
    </row>
    <row r="18" spans="1:13" ht="26.25" customHeight="1" x14ac:dyDescent="0.4">
      <c r="A18" s="83" t="s">
        <v>30</v>
      </c>
      <c r="B18" s="397" t="s">
        <v>5</v>
      </c>
      <c r="C18" s="397"/>
      <c r="D18" s="78"/>
      <c r="E18" s="76"/>
      <c r="F18" s="80"/>
      <c r="G18" s="80"/>
      <c r="H18" s="80"/>
    </row>
    <row r="19" spans="1:13" ht="26.25" x14ac:dyDescent="0.4">
      <c r="A19" s="83" t="s">
        <v>31</v>
      </c>
      <c r="B19" s="79" t="s">
        <v>7</v>
      </c>
      <c r="C19" s="80">
        <v>35</v>
      </c>
      <c r="D19" s="80"/>
      <c r="E19" s="80"/>
      <c r="F19" s="80"/>
      <c r="G19" s="80"/>
      <c r="H19" s="80"/>
    </row>
    <row r="20" spans="1:13" ht="26.25" customHeight="1" x14ac:dyDescent="0.4">
      <c r="A20" s="83" t="s">
        <v>32</v>
      </c>
      <c r="B20" s="398" t="s">
        <v>9</v>
      </c>
      <c r="C20" s="398"/>
      <c r="D20" s="80"/>
      <c r="E20" s="80"/>
      <c r="F20" s="80"/>
      <c r="G20" s="80"/>
      <c r="H20" s="80"/>
    </row>
    <row r="21" spans="1:13" ht="26.25" customHeight="1" x14ac:dyDescent="0.4">
      <c r="A21" s="83" t="s">
        <v>33</v>
      </c>
      <c r="B21" s="398" t="s">
        <v>11</v>
      </c>
      <c r="C21" s="398"/>
      <c r="D21" s="398"/>
      <c r="E21" s="398"/>
      <c r="F21" s="398"/>
      <c r="G21" s="398"/>
      <c r="H21" s="398"/>
    </row>
    <row r="22" spans="1:13" ht="26.25" x14ac:dyDescent="0.4">
      <c r="A22" s="83" t="s">
        <v>34</v>
      </c>
      <c r="B22" s="77" t="s">
        <v>12</v>
      </c>
      <c r="C22" s="80"/>
      <c r="D22" s="80"/>
      <c r="E22" s="80"/>
      <c r="F22" s="80"/>
      <c r="G22" s="80"/>
      <c r="H22" s="80"/>
    </row>
    <row r="23" spans="1:13" ht="18.75" x14ac:dyDescent="0.3">
      <c r="A23" s="83" t="s">
        <v>35</v>
      </c>
      <c r="B23" s="164"/>
    </row>
    <row r="24" spans="1:13" ht="18.75" x14ac:dyDescent="0.3">
      <c r="A24" s="83"/>
      <c r="B24" s="86"/>
    </row>
    <row r="25" spans="1:13" ht="18.75" x14ac:dyDescent="0.3">
      <c r="A25" s="87" t="s">
        <v>1</v>
      </c>
      <c r="B25" s="86"/>
    </row>
    <row r="26" spans="1:13" ht="26.25" customHeight="1" x14ac:dyDescent="0.4">
      <c r="A26" s="88" t="s">
        <v>4</v>
      </c>
      <c r="B26" s="396" t="s">
        <v>132</v>
      </c>
      <c r="C26" s="396"/>
    </row>
    <row r="27" spans="1:13" ht="26.25" customHeight="1" x14ac:dyDescent="0.4">
      <c r="A27" s="90" t="s">
        <v>45</v>
      </c>
      <c r="B27" s="210" t="s">
        <v>121</v>
      </c>
    </row>
    <row r="28" spans="1:13" ht="27" customHeight="1" x14ac:dyDescent="0.4">
      <c r="A28" s="90" t="s">
        <v>6</v>
      </c>
      <c r="B28" s="211">
        <v>99.8</v>
      </c>
    </row>
    <row r="29" spans="1:13" s="5" customFormat="1" ht="27" customHeight="1" x14ac:dyDescent="0.4">
      <c r="A29" s="90" t="s">
        <v>46</v>
      </c>
      <c r="B29" s="210">
        <v>0</v>
      </c>
      <c r="C29" s="407" t="s">
        <v>47</v>
      </c>
      <c r="D29" s="408"/>
      <c r="E29" s="408"/>
      <c r="F29" s="408"/>
      <c r="G29" s="409"/>
      <c r="I29" s="92"/>
      <c r="J29" s="92"/>
      <c r="K29" s="92"/>
    </row>
    <row r="30" spans="1:13" s="5" customFormat="1" ht="19.5" customHeight="1" x14ac:dyDescent="0.3">
      <c r="A30" s="90" t="s">
        <v>48</v>
      </c>
      <c r="B30" s="89">
        <f>B28-B29</f>
        <v>99.8</v>
      </c>
      <c r="C30" s="93"/>
      <c r="D30" s="93"/>
      <c r="E30" s="93"/>
      <c r="F30" s="93"/>
      <c r="G30" s="94"/>
      <c r="I30" s="92"/>
      <c r="J30" s="92"/>
      <c r="K30" s="92"/>
    </row>
    <row r="31" spans="1:13" s="5" customFormat="1" ht="27" customHeight="1" x14ac:dyDescent="0.4">
      <c r="A31" s="90" t="s">
        <v>49</v>
      </c>
      <c r="B31" s="212">
        <v>1</v>
      </c>
      <c r="C31" s="393" t="s">
        <v>50</v>
      </c>
      <c r="D31" s="394"/>
      <c r="E31" s="394"/>
      <c r="F31" s="394"/>
      <c r="G31" s="394"/>
      <c r="H31" s="395"/>
      <c r="I31" s="92"/>
      <c r="J31" s="92"/>
      <c r="K31" s="92"/>
    </row>
    <row r="32" spans="1:13" s="5" customFormat="1" ht="27" customHeight="1" x14ac:dyDescent="0.4">
      <c r="A32" s="90" t="s">
        <v>51</v>
      </c>
      <c r="B32" s="212">
        <v>1</v>
      </c>
      <c r="C32" s="393" t="s">
        <v>52</v>
      </c>
      <c r="D32" s="394"/>
      <c r="E32" s="394"/>
      <c r="F32" s="394"/>
      <c r="G32" s="394"/>
      <c r="H32" s="395"/>
      <c r="I32" s="92"/>
      <c r="J32" s="92"/>
      <c r="K32" s="96"/>
      <c r="L32" s="96"/>
      <c r="M32" s="97"/>
    </row>
    <row r="33" spans="1:13" s="5" customFormat="1" ht="17.25" customHeight="1" x14ac:dyDescent="0.3">
      <c r="A33" s="90"/>
      <c r="B33" s="95"/>
      <c r="C33" s="98"/>
      <c r="D33" s="98"/>
      <c r="E33" s="98"/>
      <c r="F33" s="98"/>
      <c r="G33" s="98"/>
      <c r="H33" s="98"/>
      <c r="I33" s="92"/>
      <c r="J33" s="92"/>
      <c r="K33" s="96"/>
      <c r="L33" s="96"/>
      <c r="M33" s="97"/>
    </row>
    <row r="34" spans="1:13" s="5" customFormat="1" ht="18.75" x14ac:dyDescent="0.3">
      <c r="A34" s="90" t="s">
        <v>53</v>
      </c>
      <c r="B34" s="99">
        <f>B31/B32</f>
        <v>1</v>
      </c>
      <c r="C34" s="82" t="s">
        <v>54</v>
      </c>
      <c r="D34" s="82"/>
      <c r="E34" s="82"/>
      <c r="F34" s="82"/>
      <c r="G34" s="82"/>
      <c r="I34" s="92"/>
      <c r="J34" s="92"/>
      <c r="K34" s="96"/>
      <c r="L34" s="96"/>
      <c r="M34" s="97"/>
    </row>
    <row r="35" spans="1:13" s="5" customFormat="1" ht="19.5" customHeight="1" x14ac:dyDescent="0.3">
      <c r="A35" s="90"/>
      <c r="B35" s="89"/>
      <c r="G35" s="82"/>
      <c r="I35" s="92"/>
      <c r="J35" s="92"/>
      <c r="K35" s="96"/>
      <c r="L35" s="96"/>
      <c r="M35" s="97"/>
    </row>
    <row r="36" spans="1:13" s="5" customFormat="1" ht="27" customHeight="1" x14ac:dyDescent="0.4">
      <c r="A36" s="100" t="s">
        <v>122</v>
      </c>
      <c r="B36" s="213">
        <v>100</v>
      </c>
      <c r="C36" s="82"/>
      <c r="D36" s="399" t="s">
        <v>56</v>
      </c>
      <c r="E36" s="423"/>
      <c r="F36" s="399" t="s">
        <v>57</v>
      </c>
      <c r="G36" s="400"/>
      <c r="I36" s="92"/>
      <c r="J36" s="92"/>
      <c r="K36" s="96"/>
      <c r="L36" s="96"/>
      <c r="M36" s="97"/>
    </row>
    <row r="37" spans="1:13" s="5" customFormat="1" ht="26.25" customHeight="1" x14ac:dyDescent="0.4">
      <c r="A37" s="101" t="s">
        <v>58</v>
      </c>
      <c r="B37" s="214">
        <v>1</v>
      </c>
      <c r="C37" s="103" t="s">
        <v>123</v>
      </c>
      <c r="D37" s="104" t="s">
        <v>60</v>
      </c>
      <c r="E37" s="156" t="s">
        <v>61</v>
      </c>
      <c r="F37" s="104" t="s">
        <v>60</v>
      </c>
      <c r="G37" s="105" t="s">
        <v>61</v>
      </c>
      <c r="I37" s="92"/>
      <c r="J37" s="92"/>
      <c r="K37" s="96"/>
      <c r="L37" s="96"/>
      <c r="M37" s="97"/>
    </row>
    <row r="38" spans="1:13" s="5" customFormat="1" ht="26.25" customHeight="1" x14ac:dyDescent="0.4">
      <c r="A38" s="101" t="s">
        <v>63</v>
      </c>
      <c r="B38" s="214">
        <v>1</v>
      </c>
      <c r="C38" s="106">
        <v>1</v>
      </c>
      <c r="D38" s="248">
        <v>2006550</v>
      </c>
      <c r="E38" s="165">
        <f>IF(ISBLANK(D38),"-",$D$48/$D$45*D38)</f>
        <v>1703152.1747433878</v>
      </c>
      <c r="F38" s="215">
        <v>1764711</v>
      </c>
      <c r="G38" s="168">
        <f>IF(ISBLANK(F38),"-",$D$48/$F$45*F38)</f>
        <v>1719248.9013028489</v>
      </c>
      <c r="I38" s="92"/>
      <c r="J38" s="92"/>
      <c r="K38" s="96"/>
      <c r="L38" s="96"/>
      <c r="M38" s="97"/>
    </row>
    <row r="39" spans="1:13" s="5" customFormat="1" ht="26.25" customHeight="1" x14ac:dyDescent="0.4">
      <c r="A39" s="101" t="s">
        <v>64</v>
      </c>
      <c r="B39" s="214">
        <v>1</v>
      </c>
      <c r="C39" s="102">
        <v>2</v>
      </c>
      <c r="D39" s="248">
        <v>2015054</v>
      </c>
      <c r="E39" s="166">
        <f>IF(ISBLANK(D39),"-",$D$48/$D$45*D39)</f>
        <v>1710370.3383047334</v>
      </c>
      <c r="F39" s="215">
        <v>1758756</v>
      </c>
      <c r="G39" s="169">
        <f>IF(ISBLANK(F39),"-",$D$48/$F$45*F39)</f>
        <v>1713447.3127100093</v>
      </c>
      <c r="I39" s="92"/>
      <c r="J39" s="92"/>
      <c r="K39" s="96"/>
      <c r="L39" s="96"/>
      <c r="M39" s="97"/>
    </row>
    <row r="40" spans="1:13" ht="26.25" customHeight="1" x14ac:dyDescent="0.4">
      <c r="A40" s="101" t="s">
        <v>65</v>
      </c>
      <c r="B40" s="214">
        <v>1</v>
      </c>
      <c r="C40" s="102">
        <v>3</v>
      </c>
      <c r="D40" s="248">
        <v>2014101</v>
      </c>
      <c r="E40" s="166">
        <f>IF(ISBLANK(D40),"-",$D$48/$D$45*D40)</f>
        <v>1709561.4354503164</v>
      </c>
      <c r="F40" s="215">
        <v>1763067</v>
      </c>
      <c r="G40" s="169">
        <f>IF(ISBLANK(F40),"-",$D$48/$F$45*F40)</f>
        <v>1717647.2536711732</v>
      </c>
      <c r="K40" s="96"/>
      <c r="L40" s="96"/>
      <c r="M40" s="108"/>
    </row>
    <row r="41" spans="1:13" ht="26.25" customHeight="1" x14ac:dyDescent="0.4">
      <c r="A41" s="101" t="s">
        <v>66</v>
      </c>
      <c r="B41" s="214">
        <v>1</v>
      </c>
      <c r="C41" s="109">
        <v>4</v>
      </c>
      <c r="D41" s="217"/>
      <c r="E41" s="167" t="str">
        <f>IF(ISBLANK(D41),"-",$D$48/$D$45*D41)</f>
        <v>-</v>
      </c>
      <c r="F41" s="217"/>
      <c r="G41" s="170" t="str">
        <f>IF(ISBLANK(F41),"-",$D$48/$F$45*F41)</f>
        <v>-</v>
      </c>
      <c r="K41" s="96"/>
      <c r="L41" s="96"/>
      <c r="M41" s="108"/>
    </row>
    <row r="42" spans="1:13" ht="27" customHeight="1" thickBot="1" x14ac:dyDescent="0.45">
      <c r="A42" s="101" t="s">
        <v>67</v>
      </c>
      <c r="B42" s="214">
        <v>1</v>
      </c>
      <c r="C42" s="111" t="s">
        <v>68</v>
      </c>
      <c r="D42" s="112">
        <f>AVERAGE(D38:D41)</f>
        <v>2011901.6666666667</v>
      </c>
      <c r="E42" s="136">
        <f>AVERAGE(E38:E41)</f>
        <v>1707694.649499479</v>
      </c>
      <c r="F42" s="112">
        <f>AVERAGE(F38:F41)</f>
        <v>1762178</v>
      </c>
      <c r="G42" s="113">
        <f>AVERAGE(G38:G41)</f>
        <v>1716781.1558946772</v>
      </c>
      <c r="H42" s="185"/>
    </row>
    <row r="43" spans="1:13" ht="26.25" customHeight="1" x14ac:dyDescent="0.4">
      <c r="A43" s="101" t="s">
        <v>69</v>
      </c>
      <c r="B43" s="211">
        <v>1</v>
      </c>
      <c r="C43" s="195" t="s">
        <v>109</v>
      </c>
      <c r="D43" s="219">
        <v>23.61</v>
      </c>
      <c r="E43" s="208"/>
      <c r="F43" s="219">
        <v>20.57</v>
      </c>
      <c r="G43" s="184"/>
      <c r="H43" s="185"/>
    </row>
    <row r="44" spans="1:13" ht="26.25" customHeight="1" x14ac:dyDescent="0.4">
      <c r="A44" s="101" t="s">
        <v>71</v>
      </c>
      <c r="B44" s="211">
        <v>1</v>
      </c>
      <c r="C44" s="196" t="s">
        <v>110</v>
      </c>
      <c r="D44" s="197">
        <f>D43*$B$34</f>
        <v>23.61</v>
      </c>
      <c r="E44" s="115"/>
      <c r="F44" s="114">
        <f>F43*$B$34</f>
        <v>20.57</v>
      </c>
      <c r="H44" s="185"/>
    </row>
    <row r="45" spans="1:13" ht="19.5" customHeight="1" x14ac:dyDescent="0.3">
      <c r="A45" s="101" t="s">
        <v>73</v>
      </c>
      <c r="B45" s="194">
        <f>(B44/B43)*(B42/B41)*(B40/B39)*(B38/B37)*B36</f>
        <v>100</v>
      </c>
      <c r="C45" s="196" t="s">
        <v>74</v>
      </c>
      <c r="D45" s="198">
        <f>D44*$B$30/100</f>
        <v>23.562779999999997</v>
      </c>
      <c r="E45" s="117"/>
      <c r="F45" s="116">
        <f>F44*$B$30/100</f>
        <v>20.528859999999998</v>
      </c>
      <c r="H45" s="185"/>
    </row>
    <row r="46" spans="1:13" ht="19.5" customHeight="1" x14ac:dyDescent="0.3">
      <c r="A46" s="401" t="s">
        <v>75</v>
      </c>
      <c r="B46" s="402"/>
      <c r="C46" s="196" t="s">
        <v>76</v>
      </c>
      <c r="D46" s="197">
        <f>D45/$B$45</f>
        <v>0.23562779999999997</v>
      </c>
      <c r="E46" s="117"/>
      <c r="F46" s="118">
        <f>F45/$B$45</f>
        <v>0.20528859999999999</v>
      </c>
      <c r="H46" s="185"/>
    </row>
    <row r="47" spans="1:13" ht="27" customHeight="1" x14ac:dyDescent="0.4">
      <c r="A47" s="403"/>
      <c r="B47" s="404"/>
      <c r="C47" s="196" t="s">
        <v>124</v>
      </c>
      <c r="D47" s="220">
        <v>0.2</v>
      </c>
      <c r="F47" s="120"/>
      <c r="H47" s="185"/>
    </row>
    <row r="48" spans="1:13" ht="18.75" x14ac:dyDescent="0.3">
      <c r="C48" s="196" t="s">
        <v>78</v>
      </c>
      <c r="D48" s="197">
        <f>D47*$B$45</f>
        <v>20</v>
      </c>
      <c r="F48" s="120"/>
      <c r="H48" s="185"/>
    </row>
    <row r="49" spans="1:11" ht="19.5" customHeight="1" x14ac:dyDescent="0.3">
      <c r="C49" s="199" t="s">
        <v>79</v>
      </c>
      <c r="D49" s="200">
        <f>D48/B34</f>
        <v>20</v>
      </c>
      <c r="F49" s="123"/>
      <c r="H49" s="185"/>
    </row>
    <row r="50" spans="1:11" ht="18.75" x14ac:dyDescent="0.3">
      <c r="C50" s="201" t="s">
        <v>80</v>
      </c>
      <c r="D50" s="202">
        <f>AVERAGE(E38:E41,G38:G41)</f>
        <v>1712237.902697078</v>
      </c>
      <c r="F50" s="123"/>
      <c r="H50" s="185"/>
    </row>
    <row r="51" spans="1:11" ht="18.75" x14ac:dyDescent="0.3">
      <c r="C51" s="119" t="s">
        <v>81</v>
      </c>
      <c r="D51" s="124">
        <f>STDEV(E38:E41,G38:G41)/D50</f>
        <v>3.4361633811425514E-3</v>
      </c>
      <c r="F51" s="123"/>
    </row>
    <row r="52" spans="1:11" ht="19.5" customHeight="1" x14ac:dyDescent="0.3">
      <c r="C52" s="121" t="s">
        <v>20</v>
      </c>
      <c r="D52" s="125">
        <f>COUNT(E38:E41,G38:G41)</f>
        <v>6</v>
      </c>
      <c r="F52" s="123"/>
    </row>
    <row r="54" spans="1:11" ht="18.75" x14ac:dyDescent="0.3">
      <c r="A54" s="81" t="s">
        <v>1</v>
      </c>
      <c r="B54" s="126" t="s">
        <v>82</v>
      </c>
    </row>
    <row r="55" spans="1:11" ht="18.75" x14ac:dyDescent="0.3">
      <c r="A55" s="82" t="s">
        <v>83</v>
      </c>
      <c r="B55" s="85" t="str">
        <f>B21</f>
        <v>Each tablet contains:
Artemether 20 mg
Lumefantrine 120 mg</v>
      </c>
    </row>
    <row r="56" spans="1:11" ht="26.25" customHeight="1" x14ac:dyDescent="0.4">
      <c r="A56" s="84" t="s">
        <v>84</v>
      </c>
      <c r="B56" s="210">
        <v>20</v>
      </c>
      <c r="C56" s="82" t="str">
        <f>B20</f>
        <v>Artemether &amp; Lumefantrine</v>
      </c>
      <c r="H56" s="91"/>
    </row>
    <row r="57" spans="1:11" ht="18.75" x14ac:dyDescent="0.3">
      <c r="A57" s="85" t="s">
        <v>85</v>
      </c>
      <c r="B57" s="240">
        <f>Uniformity!C46</f>
        <v>611.30149999999992</v>
      </c>
      <c r="H57" s="91"/>
    </row>
    <row r="58" spans="1:11" ht="19.5" customHeight="1" x14ac:dyDescent="0.3">
      <c r="H58" s="91"/>
    </row>
    <row r="59" spans="1:11" s="5" customFormat="1" ht="27" customHeight="1" x14ac:dyDescent="0.4">
      <c r="A59" s="100" t="s">
        <v>125</v>
      </c>
      <c r="B59" s="213">
        <v>50</v>
      </c>
      <c r="C59" s="82"/>
      <c r="D59" s="128" t="s">
        <v>87</v>
      </c>
      <c r="E59" s="127" t="s">
        <v>59</v>
      </c>
      <c r="F59" s="127" t="s">
        <v>60</v>
      </c>
      <c r="G59" s="127" t="s">
        <v>88</v>
      </c>
      <c r="H59" s="103" t="s">
        <v>89</v>
      </c>
      <c r="K59" s="92"/>
    </row>
    <row r="60" spans="1:11" s="5" customFormat="1" ht="22.5" customHeight="1" x14ac:dyDescent="0.4">
      <c r="A60" s="101" t="s">
        <v>118</v>
      </c>
      <c r="B60" s="214">
        <v>1</v>
      </c>
      <c r="C60" s="416" t="s">
        <v>90</v>
      </c>
      <c r="D60" s="420">
        <v>293.64</v>
      </c>
      <c r="E60" s="129">
        <v>1</v>
      </c>
      <c r="F60" s="222">
        <v>1574603</v>
      </c>
      <c r="G60" s="157">
        <f>IF(ISBLANK(F60),"-",(F60/$D$50*$D$47*$B$68)*($B$57/$D$60))</f>
        <v>19.144640436001897</v>
      </c>
      <c r="H60" s="159">
        <f t="shared" ref="H60:H71" si="0">IF(ISBLANK(F60),"-",G60/$B$56)</f>
        <v>0.95723202180009481</v>
      </c>
      <c r="K60" s="92"/>
    </row>
    <row r="61" spans="1:11" s="5" customFormat="1" ht="26.25" customHeight="1" x14ac:dyDescent="0.4">
      <c r="A61" s="101" t="s">
        <v>91</v>
      </c>
      <c r="B61" s="214">
        <v>1</v>
      </c>
      <c r="C61" s="417"/>
      <c r="D61" s="421"/>
      <c r="E61" s="130">
        <v>2</v>
      </c>
      <c r="F61" s="216">
        <v>1583187</v>
      </c>
      <c r="G61" s="158">
        <f>IF(ISBLANK(F61),"-",(F61/$D$50*$D$47*$B$68)*($B$57/$D$60))</f>
        <v>19.24900807248083</v>
      </c>
      <c r="H61" s="160">
        <f t="shared" si="0"/>
        <v>0.96245040362404155</v>
      </c>
      <c r="K61" s="92"/>
    </row>
    <row r="62" spans="1:11" s="5" customFormat="1" ht="26.25" customHeight="1" x14ac:dyDescent="0.4">
      <c r="A62" s="101" t="s">
        <v>92</v>
      </c>
      <c r="B62" s="214">
        <v>1</v>
      </c>
      <c r="C62" s="417"/>
      <c r="D62" s="421"/>
      <c r="E62" s="130">
        <v>3</v>
      </c>
      <c r="F62" s="216">
        <v>1575394</v>
      </c>
      <c r="G62" s="158">
        <f>IF(ISBLANK(F62),"-",(F62/$D$50*$D$47*$B$68)*($B$57/$D$60))</f>
        <v>19.154257724032515</v>
      </c>
      <c r="H62" s="160">
        <f t="shared" si="0"/>
        <v>0.95771288620162576</v>
      </c>
      <c r="K62" s="92"/>
    </row>
    <row r="63" spans="1:11" ht="21" customHeight="1" x14ac:dyDescent="0.4">
      <c r="A63" s="101" t="s">
        <v>93</v>
      </c>
      <c r="B63" s="214">
        <v>1</v>
      </c>
      <c r="C63" s="418"/>
      <c r="D63" s="422"/>
      <c r="E63" s="131">
        <v>4</v>
      </c>
      <c r="F63" s="223"/>
      <c r="G63" s="158" t="str">
        <f>IF(ISBLANK(F63),"-",(F63/$D$50*$D$47*$B$68)*($B$57/$D$60))</f>
        <v>-</v>
      </c>
      <c r="H63" s="160" t="str">
        <f t="shared" si="0"/>
        <v>-</v>
      </c>
    </row>
    <row r="64" spans="1:11" ht="26.25" customHeight="1" x14ac:dyDescent="0.4">
      <c r="A64" s="101" t="s">
        <v>94</v>
      </c>
      <c r="B64" s="214">
        <v>1</v>
      </c>
      <c r="C64" s="416" t="s">
        <v>95</v>
      </c>
      <c r="D64" s="420">
        <v>306.04000000000002</v>
      </c>
      <c r="E64" s="129">
        <v>1</v>
      </c>
      <c r="F64" s="222">
        <v>1688197</v>
      </c>
      <c r="G64" s="181">
        <f>IF(ISBLANK(F64),"-",(F64/$D$50*$D$47*$B$68)*($B$57/$D$64))</f>
        <v>19.694106667477531</v>
      </c>
      <c r="H64" s="178">
        <f t="shared" si="0"/>
        <v>0.98470533337387656</v>
      </c>
    </row>
    <row r="65" spans="1:8" ht="26.25" customHeight="1" x14ac:dyDescent="0.4">
      <c r="A65" s="101" t="s">
        <v>96</v>
      </c>
      <c r="B65" s="214">
        <v>1</v>
      </c>
      <c r="C65" s="417"/>
      <c r="D65" s="421"/>
      <c r="E65" s="130">
        <v>2</v>
      </c>
      <c r="F65" s="216">
        <v>1693994</v>
      </c>
      <c r="G65" s="182">
        <f>IF(ISBLANK(F65),"-",(F65/$D$50*$D$47*$B$68)*($B$57/$D$64))</f>
        <v>19.76173309753953</v>
      </c>
      <c r="H65" s="179">
        <f t="shared" si="0"/>
        <v>0.98808665487697644</v>
      </c>
    </row>
    <row r="66" spans="1:8" ht="26.25" customHeight="1" x14ac:dyDescent="0.4">
      <c r="A66" s="101" t="s">
        <v>97</v>
      </c>
      <c r="B66" s="214">
        <v>1</v>
      </c>
      <c r="C66" s="417"/>
      <c r="D66" s="421"/>
      <c r="E66" s="130">
        <v>3</v>
      </c>
      <c r="F66" s="216">
        <v>1696444</v>
      </c>
      <c r="G66" s="182">
        <f>IF(ISBLANK(F66),"-",(F66/$D$50*$D$47*$B$68)*($B$57/$D$64))</f>
        <v>19.790314217714077</v>
      </c>
      <c r="H66" s="179">
        <f t="shared" si="0"/>
        <v>0.98951571088570378</v>
      </c>
    </row>
    <row r="67" spans="1:8" ht="21" customHeight="1" x14ac:dyDescent="0.4">
      <c r="A67" s="101" t="s">
        <v>98</v>
      </c>
      <c r="B67" s="214">
        <v>1</v>
      </c>
      <c r="C67" s="418"/>
      <c r="D67" s="422"/>
      <c r="E67" s="131">
        <v>4</v>
      </c>
      <c r="F67" s="223"/>
      <c r="G67" s="183" t="str">
        <f>IF(ISBLANK(F67),"-",(F67/$D$50*$D$47*$B$68)*($B$57/$D$64))</f>
        <v>-</v>
      </c>
      <c r="H67" s="180" t="str">
        <f t="shared" si="0"/>
        <v>-</v>
      </c>
    </row>
    <row r="68" spans="1:8" ht="21.75" customHeight="1" x14ac:dyDescent="0.4">
      <c r="A68" s="101" t="s">
        <v>99</v>
      </c>
      <c r="B68" s="186">
        <f>(B67/B66)*(B65/B64)*(B63/B62)*(B61/B60)*B59</f>
        <v>50</v>
      </c>
      <c r="C68" s="416" t="s">
        <v>100</v>
      </c>
      <c r="D68" s="420">
        <v>301.7</v>
      </c>
      <c r="E68" s="129">
        <v>1</v>
      </c>
      <c r="F68" s="222">
        <v>1588284</v>
      </c>
      <c r="G68" s="181">
        <f>IF(ISBLANK(F68),"-",(F68/$D$50*$D$47*$B$68)*($B$57/$D$68))</f>
        <v>18.795081173057277</v>
      </c>
      <c r="H68" s="160">
        <f t="shared" si="0"/>
        <v>0.93975405865286388</v>
      </c>
    </row>
    <row r="69" spans="1:8" ht="21.75" customHeight="1" x14ac:dyDescent="0.4">
      <c r="A69" s="203" t="s">
        <v>101</v>
      </c>
      <c r="B69" s="221">
        <f>D47*B68/B56*B57</f>
        <v>305.65074999999996</v>
      </c>
      <c r="C69" s="417"/>
      <c r="D69" s="421"/>
      <c r="E69" s="130">
        <v>2</v>
      </c>
      <c r="F69" s="216">
        <v>1574108</v>
      </c>
      <c r="G69" s="182">
        <f>IF(ISBLANK(F69),"-",(F69/$D$50*$D$47*$B$68)*($B$57/$D$68))</f>
        <v>18.627328384066605</v>
      </c>
      <c r="H69" s="369">
        <f t="shared" si="0"/>
        <v>0.93136641920333019</v>
      </c>
    </row>
    <row r="70" spans="1:8" ht="22.5" customHeight="1" x14ac:dyDescent="0.4">
      <c r="A70" s="410" t="s">
        <v>75</v>
      </c>
      <c r="B70" s="411"/>
      <c r="C70" s="417"/>
      <c r="D70" s="421"/>
      <c r="E70" s="130">
        <v>3</v>
      </c>
      <c r="F70" s="216">
        <v>1566405</v>
      </c>
      <c r="G70" s="182">
        <f>IF(ISBLANK(F70),"-",(F70/$D$50*$D$47*$B$68)*($B$57/$D$68))</f>
        <v>18.536174339653854</v>
      </c>
      <c r="H70" s="369">
        <f t="shared" si="0"/>
        <v>0.92680871698269274</v>
      </c>
    </row>
    <row r="71" spans="1:8" ht="21.75" customHeight="1" x14ac:dyDescent="0.4">
      <c r="A71" s="412"/>
      <c r="B71" s="413"/>
      <c r="C71" s="419"/>
      <c r="D71" s="422"/>
      <c r="E71" s="131">
        <v>4</v>
      </c>
      <c r="F71" s="223"/>
      <c r="G71" s="183" t="str">
        <f>IF(ISBLANK(F71),"-",(F71/$D$50*$D$47*$B$68)*($B$57/$D$68))</f>
        <v>-</v>
      </c>
      <c r="H71" s="161" t="str">
        <f t="shared" si="0"/>
        <v>-</v>
      </c>
    </row>
    <row r="72" spans="1:8" ht="26.25" customHeight="1" x14ac:dyDescent="0.4">
      <c r="A72" s="132"/>
      <c r="B72" s="132"/>
      <c r="C72" s="132"/>
      <c r="D72" s="132"/>
      <c r="E72" s="132"/>
      <c r="F72" s="133"/>
      <c r="G72" s="122" t="s">
        <v>68</v>
      </c>
      <c r="H72" s="224">
        <f>AVERAGE(H60:H68)</f>
        <v>0.96849386705931184</v>
      </c>
    </row>
    <row r="73" spans="1:8" ht="26.25" customHeight="1" x14ac:dyDescent="0.4">
      <c r="C73" s="132"/>
      <c r="D73" s="132"/>
      <c r="E73" s="132"/>
      <c r="F73" s="133"/>
      <c r="G73" s="119" t="s">
        <v>81</v>
      </c>
      <c r="H73" s="225">
        <f>STDEV(H60:H68)/H72</f>
        <v>1.974523034431146E-2</v>
      </c>
    </row>
    <row r="74" spans="1:8" ht="27" customHeight="1" x14ac:dyDescent="0.4">
      <c r="A74" s="132"/>
      <c r="B74" s="132"/>
      <c r="C74" s="133"/>
      <c r="D74" s="133"/>
      <c r="E74" s="134"/>
      <c r="F74" s="133"/>
      <c r="G74" s="121" t="s">
        <v>20</v>
      </c>
      <c r="H74" s="226">
        <f>COUNT(H60:H68)</f>
        <v>7</v>
      </c>
    </row>
    <row r="75" spans="1:8" ht="18.75" x14ac:dyDescent="0.3">
      <c r="A75" s="132"/>
      <c r="B75" s="132"/>
      <c r="C75" s="133"/>
      <c r="D75" s="133"/>
      <c r="E75" s="134"/>
      <c r="F75" s="133"/>
      <c r="G75" s="150"/>
      <c r="H75" s="193"/>
    </row>
    <row r="76" spans="1:8" ht="18.75" x14ac:dyDescent="0.3">
      <c r="A76" s="88" t="s">
        <v>126</v>
      </c>
      <c r="B76" s="207" t="s">
        <v>119</v>
      </c>
      <c r="C76" s="414" t="str">
        <f>B20</f>
        <v>Artemether &amp; Lumefantrine</v>
      </c>
      <c r="D76" s="414"/>
      <c r="E76" s="208" t="s">
        <v>104</v>
      </c>
      <c r="F76" s="208"/>
      <c r="G76" s="209">
        <f>H72</f>
        <v>0.96849386705931184</v>
      </c>
      <c r="H76" s="193"/>
    </row>
    <row r="77" spans="1:8" ht="18.75" x14ac:dyDescent="0.3">
      <c r="A77" s="132"/>
      <c r="B77" s="132"/>
      <c r="C77" s="133"/>
      <c r="D77" s="133"/>
      <c r="E77" s="134"/>
      <c r="F77" s="133"/>
      <c r="G77" s="150"/>
      <c r="H77" s="193"/>
    </row>
    <row r="78" spans="1:8" ht="26.25" customHeight="1" x14ac:dyDescent="0.4">
      <c r="A78" s="87" t="s">
        <v>127</v>
      </c>
      <c r="B78" s="87" t="s">
        <v>128</v>
      </c>
      <c r="D78" s="230" t="s">
        <v>129</v>
      </c>
    </row>
    <row r="79" spans="1:8" ht="26.25" customHeight="1" x14ac:dyDescent="0.4">
      <c r="A79" s="88" t="s">
        <v>4</v>
      </c>
      <c r="B79" s="396" t="str">
        <f>B26</f>
        <v>ARTEMETHER</v>
      </c>
      <c r="C79" s="396"/>
    </row>
    <row r="80" spans="1:8" ht="26.25" customHeight="1" x14ac:dyDescent="0.4">
      <c r="A80" s="90" t="s">
        <v>45</v>
      </c>
      <c r="B80" s="210" t="str">
        <f>B27</f>
        <v>F0J018</v>
      </c>
    </row>
    <row r="81" spans="1:11" ht="27" customHeight="1" x14ac:dyDescent="0.4">
      <c r="A81" s="90" t="s">
        <v>6</v>
      </c>
      <c r="B81" s="210">
        <f>B28</f>
        <v>99.8</v>
      </c>
    </row>
    <row r="82" spans="1:11" s="5" customFormat="1" ht="27" customHeight="1" x14ac:dyDescent="0.4">
      <c r="A82" s="90" t="s">
        <v>46</v>
      </c>
      <c r="B82" s="210">
        <f>B29</f>
        <v>0</v>
      </c>
      <c r="C82" s="407" t="s">
        <v>47</v>
      </c>
      <c r="D82" s="408"/>
      <c r="E82" s="408"/>
      <c r="F82" s="408"/>
      <c r="G82" s="409"/>
      <c r="I82" s="92"/>
      <c r="J82" s="92"/>
      <c r="K82" s="92"/>
    </row>
    <row r="83" spans="1:11" s="5" customFormat="1" ht="19.5" customHeight="1" x14ac:dyDescent="0.3">
      <c r="A83" s="90" t="s">
        <v>48</v>
      </c>
      <c r="B83" s="89">
        <f>B81-B82</f>
        <v>99.8</v>
      </c>
      <c r="C83" s="93"/>
      <c r="D83" s="93"/>
      <c r="E83" s="93"/>
      <c r="F83" s="93"/>
      <c r="G83" s="94"/>
      <c r="I83" s="92"/>
      <c r="J83" s="92"/>
      <c r="K83" s="92"/>
    </row>
    <row r="84" spans="1:11" s="5" customFormat="1" ht="27" customHeight="1" x14ac:dyDescent="0.4">
      <c r="A84" s="90" t="s">
        <v>49</v>
      </c>
      <c r="B84" s="212">
        <v>1</v>
      </c>
      <c r="C84" s="393" t="s">
        <v>50</v>
      </c>
      <c r="D84" s="394"/>
      <c r="E84" s="394"/>
      <c r="F84" s="394"/>
      <c r="G84" s="394"/>
      <c r="H84" s="395"/>
      <c r="I84" s="92"/>
      <c r="J84" s="92"/>
      <c r="K84" s="92"/>
    </row>
    <row r="85" spans="1:11" s="5" customFormat="1" ht="27" customHeight="1" x14ac:dyDescent="0.4">
      <c r="A85" s="90" t="s">
        <v>51</v>
      </c>
      <c r="B85" s="212">
        <v>1</v>
      </c>
      <c r="C85" s="393" t="s">
        <v>52</v>
      </c>
      <c r="D85" s="394"/>
      <c r="E85" s="394"/>
      <c r="F85" s="394"/>
      <c r="G85" s="394"/>
      <c r="H85" s="395"/>
      <c r="I85" s="92"/>
      <c r="J85" s="92"/>
      <c r="K85" s="92"/>
    </row>
    <row r="86" spans="1:11" s="5" customFormat="1" ht="18.75" x14ac:dyDescent="0.3">
      <c r="A86" s="90"/>
      <c r="B86" s="89"/>
      <c r="C86" s="93"/>
      <c r="D86" s="93"/>
      <c r="E86" s="93"/>
      <c r="F86" s="93"/>
      <c r="G86" s="94"/>
      <c r="I86" s="92"/>
      <c r="J86" s="92"/>
      <c r="K86" s="92"/>
    </row>
    <row r="87" spans="1:11" s="5" customFormat="1" ht="18.75" x14ac:dyDescent="0.3">
      <c r="A87" s="90" t="s">
        <v>53</v>
      </c>
      <c r="B87" s="99">
        <f>B84/B85</f>
        <v>1</v>
      </c>
      <c r="C87" s="82" t="s">
        <v>54</v>
      </c>
      <c r="D87" s="93"/>
      <c r="E87" s="93"/>
      <c r="F87" s="93"/>
      <c r="G87" s="94"/>
      <c r="I87" s="92"/>
      <c r="J87" s="92"/>
      <c r="K87" s="92"/>
    </row>
    <row r="88" spans="1:11" s="42" customFormat="1" ht="18.75" x14ac:dyDescent="0.3">
      <c r="A88" s="207"/>
      <c r="B88" s="99"/>
      <c r="C88" s="208"/>
      <c r="D88" s="93"/>
      <c r="E88" s="93"/>
      <c r="F88" s="93"/>
      <c r="G88" s="94"/>
      <c r="I88" s="92"/>
      <c r="J88" s="92"/>
      <c r="K88" s="92"/>
    </row>
    <row r="89" spans="1:11" ht="19.5" customHeight="1" thickBot="1" x14ac:dyDescent="0.35">
      <c r="A89" s="87"/>
      <c r="B89" s="87"/>
    </row>
    <row r="90" spans="1:11" ht="27" customHeight="1" x14ac:dyDescent="0.4">
      <c r="A90" s="273" t="s">
        <v>122</v>
      </c>
      <c r="B90" s="213">
        <v>100</v>
      </c>
      <c r="C90" s="1"/>
      <c r="D90" s="243" t="s">
        <v>56</v>
      </c>
      <c r="E90" s="247"/>
      <c r="F90" s="399" t="s">
        <v>57</v>
      </c>
      <c r="G90" s="400"/>
    </row>
    <row r="91" spans="1:11" ht="26.25" customHeight="1" x14ac:dyDescent="0.4">
      <c r="A91" s="274" t="s">
        <v>138</v>
      </c>
      <c r="B91" s="214">
        <v>10</v>
      </c>
      <c r="C91" s="246" t="s">
        <v>123</v>
      </c>
      <c r="D91" s="104" t="s">
        <v>60</v>
      </c>
      <c r="E91" s="156" t="s">
        <v>61</v>
      </c>
      <c r="F91" s="104" t="s">
        <v>60</v>
      </c>
      <c r="G91" s="105" t="s">
        <v>61</v>
      </c>
    </row>
    <row r="92" spans="1:11" ht="26.25" customHeight="1" x14ac:dyDescent="0.4">
      <c r="A92" s="274" t="s">
        <v>139</v>
      </c>
      <c r="B92" s="214">
        <v>100</v>
      </c>
      <c r="C92" s="275">
        <v>1</v>
      </c>
      <c r="D92" s="215">
        <v>1591675</v>
      </c>
      <c r="E92" s="276">
        <f>IF(ISBLANK(D92),"-",$D$102/$D$99*D92)</f>
        <v>1333498.9376746807</v>
      </c>
      <c r="F92" s="215">
        <v>1387513</v>
      </c>
      <c r="G92" s="277">
        <f>IF(ISBLANK(F92),"-",$D$102/$F$99*F92)</f>
        <v>1324719.9496658875</v>
      </c>
    </row>
    <row r="93" spans="1:11" ht="26.25" customHeight="1" x14ac:dyDescent="0.4">
      <c r="A93" s="274" t="s">
        <v>140</v>
      </c>
      <c r="B93" s="214">
        <v>1</v>
      </c>
      <c r="C93" s="245">
        <v>2</v>
      </c>
      <c r="D93" s="216">
        <v>1585029</v>
      </c>
      <c r="E93" s="278">
        <f>IF(ISBLANK(D93),"-",$D$102/$D$99*D93)</f>
        <v>1327930.9455030465</v>
      </c>
      <c r="F93" s="216">
        <v>1383775</v>
      </c>
      <c r="G93" s="279">
        <f>IF(ISBLANK(F93),"-",$D$102/$F$99*F93)</f>
        <v>1321151.1159527251</v>
      </c>
    </row>
    <row r="94" spans="1:11" ht="26.25" customHeight="1" x14ac:dyDescent="0.4">
      <c r="A94" s="274" t="s">
        <v>141</v>
      </c>
      <c r="B94" s="214">
        <v>1</v>
      </c>
      <c r="C94" s="245">
        <v>3</v>
      </c>
      <c r="D94" s="216">
        <v>1583369</v>
      </c>
      <c r="E94" s="278">
        <f>IF(ISBLANK(D94),"-",$D$102/$D$99*D94)</f>
        <v>1326540.204154128</v>
      </c>
      <c r="F94" s="216">
        <v>1383653</v>
      </c>
      <c r="G94" s="279">
        <f>IF(ISBLANK(F94),"-",$D$102/$F$99*F94)</f>
        <v>1321034.637163799</v>
      </c>
    </row>
    <row r="95" spans="1:11" ht="26.25" customHeight="1" x14ac:dyDescent="0.4">
      <c r="A95" s="274" t="s">
        <v>142</v>
      </c>
      <c r="B95" s="214">
        <v>1</v>
      </c>
      <c r="C95" s="280">
        <v>4</v>
      </c>
      <c r="D95" s="217"/>
      <c r="E95" s="281" t="str">
        <f>IF(ISBLANK(D95),"-",$D$102/$D$99*D95)</f>
        <v>-</v>
      </c>
      <c r="F95" s="227"/>
      <c r="G95" s="282" t="str">
        <f>IF(ISBLANK(F95),"-",$D$102/$F$99*F95)</f>
        <v>-</v>
      </c>
    </row>
    <row r="96" spans="1:11" ht="27" customHeight="1" x14ac:dyDescent="0.4">
      <c r="A96" s="274" t="s">
        <v>143</v>
      </c>
      <c r="B96" s="214">
        <v>1</v>
      </c>
      <c r="C96" s="177" t="s">
        <v>68</v>
      </c>
      <c r="D96" s="204">
        <f>AVERAGE(D92:D95)</f>
        <v>1586691</v>
      </c>
      <c r="E96" s="136">
        <f>AVERAGE(E92:E95)</f>
        <v>1329323.3624439519</v>
      </c>
      <c r="F96" s="154">
        <f>AVERAGE(F92:F95)</f>
        <v>1384980.3333333333</v>
      </c>
      <c r="G96" s="171">
        <f>AVERAGE(G92:G95)</f>
        <v>1322301.9009274708</v>
      </c>
    </row>
    <row r="97" spans="1:9" ht="26.25" customHeight="1" x14ac:dyDescent="0.4">
      <c r="A97" s="274" t="s">
        <v>144</v>
      </c>
      <c r="B97" s="211">
        <v>1</v>
      </c>
      <c r="C97" s="283" t="s">
        <v>109</v>
      </c>
      <c r="D97" s="218">
        <v>23.92</v>
      </c>
      <c r="E97" s="83"/>
      <c r="F97" s="219">
        <v>20.99</v>
      </c>
      <c r="G97" s="1"/>
    </row>
    <row r="98" spans="1:9" ht="26.25" customHeight="1" x14ac:dyDescent="0.4">
      <c r="A98" s="274" t="s">
        <v>145</v>
      </c>
      <c r="B98" s="211">
        <v>1</v>
      </c>
      <c r="C98" s="284" t="s">
        <v>110</v>
      </c>
      <c r="D98" s="285">
        <f>D97*B87</f>
        <v>23.92</v>
      </c>
      <c r="E98" s="245"/>
      <c r="F98" s="286">
        <f>F97*B87</f>
        <v>20.99</v>
      </c>
      <c r="G98" s="1"/>
    </row>
    <row r="99" spans="1:9" ht="19.5" customHeight="1" x14ac:dyDescent="0.3">
      <c r="A99" s="274" t="s">
        <v>73</v>
      </c>
      <c r="B99" s="245">
        <f>(B98/B97)*(B96/B95)*(B94/B93)*(B92/B91)*B90</f>
        <v>1000</v>
      </c>
      <c r="C99" s="284" t="s">
        <v>74</v>
      </c>
      <c r="D99" s="287">
        <f>D98*$B$83/100</f>
        <v>23.872159999999997</v>
      </c>
      <c r="E99" s="95"/>
      <c r="F99" s="288">
        <f>F98*$B$83/100</f>
        <v>20.948019999999996</v>
      </c>
      <c r="G99" s="1"/>
    </row>
    <row r="100" spans="1:9" ht="19.5" customHeight="1" x14ac:dyDescent="0.3">
      <c r="A100" s="401" t="s">
        <v>75</v>
      </c>
      <c r="B100" s="402"/>
      <c r="C100" s="284" t="s">
        <v>76</v>
      </c>
      <c r="D100" s="285">
        <f>D99/$B$99</f>
        <v>2.3872159999999996E-2</v>
      </c>
      <c r="E100" s="95"/>
      <c r="F100" s="289">
        <f>F99/$B$99</f>
        <v>2.0948019999999998E-2</v>
      </c>
      <c r="G100" s="1"/>
      <c r="H100" s="185"/>
    </row>
    <row r="101" spans="1:9" ht="19.5" customHeight="1" x14ac:dyDescent="0.3">
      <c r="A101" s="403"/>
      <c r="B101" s="404"/>
      <c r="C101" s="284" t="s">
        <v>124</v>
      </c>
      <c r="D101" s="287">
        <f>$B$56/$B$117</f>
        <v>0.02</v>
      </c>
      <c r="E101" s="1"/>
      <c r="F101" s="290"/>
      <c r="G101" s="291"/>
      <c r="H101" s="185"/>
    </row>
    <row r="102" spans="1:9" ht="18.75" x14ac:dyDescent="0.3">
      <c r="A102" s="1"/>
      <c r="B102" s="1"/>
      <c r="C102" s="284" t="s">
        <v>78</v>
      </c>
      <c r="D102" s="285">
        <f>D101*$B$99</f>
        <v>20</v>
      </c>
      <c r="E102" s="1"/>
      <c r="F102" s="290"/>
      <c r="G102" s="1"/>
      <c r="H102" s="185"/>
    </row>
    <row r="103" spans="1:9" ht="19.5" customHeight="1" x14ac:dyDescent="0.3">
      <c r="A103" s="1"/>
      <c r="B103" s="1"/>
      <c r="C103" s="292" t="s">
        <v>79</v>
      </c>
      <c r="D103" s="293">
        <f>D102/B34</f>
        <v>20</v>
      </c>
      <c r="E103" s="1"/>
      <c r="F103" s="146"/>
      <c r="G103" s="1"/>
      <c r="H103" s="185"/>
      <c r="I103" s="137"/>
    </row>
    <row r="104" spans="1:9" ht="18.75" x14ac:dyDescent="0.3">
      <c r="A104" s="1"/>
      <c r="B104" s="1"/>
      <c r="C104" s="294" t="s">
        <v>113</v>
      </c>
      <c r="D104" s="202">
        <f>AVERAGE(E92:E95,G92:G95)</f>
        <v>1325812.6316857112</v>
      </c>
      <c r="E104" s="1"/>
      <c r="F104" s="146"/>
      <c r="G104" s="291"/>
      <c r="H104" s="185"/>
      <c r="I104" s="139"/>
    </row>
    <row r="105" spans="1:9" ht="18.75" x14ac:dyDescent="0.3">
      <c r="A105" s="1"/>
      <c r="B105" s="1"/>
      <c r="C105" s="295" t="s">
        <v>81</v>
      </c>
      <c r="D105" s="138">
        <f>STDEV(E92:E95,G92:G95)/D104</f>
        <v>3.5353349130577199E-3</v>
      </c>
      <c r="E105" s="1"/>
      <c r="F105" s="146"/>
      <c r="G105" s="1"/>
      <c r="H105" s="185"/>
      <c r="I105" s="139"/>
    </row>
    <row r="106" spans="1:9" ht="19.5" customHeight="1" x14ac:dyDescent="0.3">
      <c r="A106" s="1"/>
      <c r="B106" s="1"/>
      <c r="C106" s="296" t="s">
        <v>20</v>
      </c>
      <c r="D106" s="140">
        <f>COUNT(E92:E95,G92:G95)</f>
        <v>6</v>
      </c>
      <c r="E106" s="1"/>
      <c r="F106" s="146"/>
      <c r="G106" s="1"/>
      <c r="H106" s="185"/>
      <c r="I106" s="139"/>
    </row>
    <row r="107" spans="1:9" ht="19.5" customHeight="1" x14ac:dyDescent="0.3">
      <c r="A107" s="81"/>
      <c r="B107" s="81"/>
      <c r="C107" s="81"/>
      <c r="D107" s="81"/>
      <c r="E107" s="81"/>
      <c r="F107" s="1"/>
      <c r="G107" s="1"/>
    </row>
    <row r="108" spans="1:9" ht="26.25" customHeight="1" x14ac:dyDescent="0.4">
      <c r="A108" s="273" t="s">
        <v>114</v>
      </c>
      <c r="B108" s="213">
        <v>1000</v>
      </c>
      <c r="C108" s="243" t="s">
        <v>130</v>
      </c>
      <c r="D108" s="142" t="s">
        <v>60</v>
      </c>
      <c r="E108" s="143" t="s">
        <v>116</v>
      </c>
      <c r="F108" s="144" t="s">
        <v>117</v>
      </c>
      <c r="G108" s="1"/>
    </row>
    <row r="109" spans="1:9" ht="26.25" customHeight="1" x14ac:dyDescent="0.4">
      <c r="A109" s="274" t="s">
        <v>146</v>
      </c>
      <c r="B109" s="214">
        <v>1</v>
      </c>
      <c r="C109" s="297">
        <v>1</v>
      </c>
      <c r="D109" s="228">
        <v>809470</v>
      </c>
      <c r="E109" s="298">
        <f t="shared" ref="E109:E114" si="1">IF(ISBLANK(D109),"-",D109/$D$104*$D$101*$B$117)</f>
        <v>12.210926048740316</v>
      </c>
      <c r="F109" s="299">
        <f t="shared" ref="F109:F114" si="2">IF(ISBLANK(D109), "-", E109/$B$56)</f>
        <v>0.6105463024370158</v>
      </c>
      <c r="G109" s="1"/>
    </row>
    <row r="110" spans="1:9" ht="26.25" customHeight="1" x14ac:dyDescent="0.4">
      <c r="A110" s="274" t="s">
        <v>147</v>
      </c>
      <c r="B110" s="214">
        <v>1</v>
      </c>
      <c r="C110" s="297">
        <v>2</v>
      </c>
      <c r="D110" s="228">
        <v>794173</v>
      </c>
      <c r="E110" s="300">
        <f t="shared" si="1"/>
        <v>11.980169460148298</v>
      </c>
      <c r="F110" s="301">
        <f t="shared" si="2"/>
        <v>0.59900847300741489</v>
      </c>
      <c r="G110" s="1"/>
    </row>
    <row r="111" spans="1:9" ht="26.25" customHeight="1" x14ac:dyDescent="0.4">
      <c r="A111" s="274" t="s">
        <v>148</v>
      </c>
      <c r="B111" s="214">
        <v>1</v>
      </c>
      <c r="C111" s="297">
        <v>3</v>
      </c>
      <c r="D111" s="228">
        <v>851571</v>
      </c>
      <c r="E111" s="300">
        <f t="shared" si="1"/>
        <v>12.846023331626668</v>
      </c>
      <c r="F111" s="301">
        <f t="shared" si="2"/>
        <v>0.6423011665813334</v>
      </c>
      <c r="G111" s="1"/>
    </row>
    <row r="112" spans="1:9" ht="26.25" customHeight="1" x14ac:dyDescent="0.4">
      <c r="A112" s="274" t="s">
        <v>149</v>
      </c>
      <c r="B112" s="214">
        <v>1</v>
      </c>
      <c r="C112" s="297">
        <v>4</v>
      </c>
      <c r="D112" s="228">
        <v>699377</v>
      </c>
      <c r="E112" s="300">
        <f t="shared" si="1"/>
        <v>10.550163473865437</v>
      </c>
      <c r="F112" s="301">
        <f t="shared" si="2"/>
        <v>0.52750817369327185</v>
      </c>
      <c r="G112" s="1"/>
    </row>
    <row r="113" spans="1:9" ht="26.25" customHeight="1" x14ac:dyDescent="0.4">
      <c r="A113" s="274" t="s">
        <v>150</v>
      </c>
      <c r="B113" s="214">
        <v>1</v>
      </c>
      <c r="C113" s="297">
        <v>5</v>
      </c>
      <c r="D113" s="228">
        <v>758362</v>
      </c>
      <c r="E113" s="300">
        <f t="shared" si="1"/>
        <v>11.439957379735878</v>
      </c>
      <c r="F113" s="301">
        <f t="shared" si="2"/>
        <v>0.57199786898679394</v>
      </c>
      <c r="G113" s="1"/>
    </row>
    <row r="114" spans="1:9" ht="26.25" customHeight="1" x14ac:dyDescent="0.4">
      <c r="A114" s="274" t="s">
        <v>151</v>
      </c>
      <c r="B114" s="214">
        <v>1</v>
      </c>
      <c r="C114" s="302">
        <v>6</v>
      </c>
      <c r="D114" s="229">
        <v>871450</v>
      </c>
      <c r="E114" s="303">
        <f t="shared" si="1"/>
        <v>13.145899792672671</v>
      </c>
      <c r="F114" s="304">
        <f t="shared" si="2"/>
        <v>0.65729498963363353</v>
      </c>
      <c r="G114" s="1"/>
    </row>
    <row r="115" spans="1:9" ht="26.25" customHeight="1" x14ac:dyDescent="0.4">
      <c r="A115" s="274" t="s">
        <v>152</v>
      </c>
      <c r="B115" s="214">
        <v>1</v>
      </c>
      <c r="C115" s="297"/>
      <c r="D115" s="245"/>
      <c r="E115" s="83"/>
      <c r="F115" s="305"/>
      <c r="G115" s="1"/>
    </row>
    <row r="116" spans="1:9" ht="26.25" customHeight="1" x14ac:dyDescent="0.4">
      <c r="A116" s="274" t="s">
        <v>153</v>
      </c>
      <c r="B116" s="214">
        <v>1</v>
      </c>
      <c r="C116" s="297"/>
      <c r="D116" s="146"/>
      <c r="E116" s="306" t="s">
        <v>68</v>
      </c>
      <c r="F116" s="235">
        <f>AVERAGE(F109:F114)</f>
        <v>0.60144282905657731</v>
      </c>
      <c r="G116" s="1"/>
    </row>
    <row r="117" spans="1:9" ht="27" customHeight="1" x14ac:dyDescent="0.4">
      <c r="A117" s="274" t="s">
        <v>99</v>
      </c>
      <c r="B117" s="186">
        <f>(B116/B115)*(B114/B113)*(B112/B111)*(B110/B109)*B108</f>
        <v>1000</v>
      </c>
      <c r="C117" s="307"/>
      <c r="D117" s="308"/>
      <c r="E117" s="177" t="s">
        <v>81</v>
      </c>
      <c r="F117" s="236">
        <f>STDEV(F109:F114)/F116</f>
        <v>7.8730486672547145E-2</v>
      </c>
      <c r="G117" s="1"/>
    </row>
    <row r="118" spans="1:9" ht="27" customHeight="1" x14ac:dyDescent="0.4">
      <c r="A118" s="401" t="s">
        <v>75</v>
      </c>
      <c r="B118" s="405"/>
      <c r="C118" s="309"/>
      <c r="D118" s="310"/>
      <c r="E118" s="311" t="s">
        <v>20</v>
      </c>
      <c r="F118" s="237">
        <f>COUNT(F109:F114)</f>
        <v>6</v>
      </c>
      <c r="G118" s="1"/>
      <c r="I118" s="139"/>
    </row>
    <row r="119" spans="1:9" ht="19.5" customHeight="1" x14ac:dyDescent="0.3">
      <c r="A119" s="403"/>
      <c r="B119" s="406"/>
      <c r="C119" s="83"/>
      <c r="D119" s="83"/>
      <c r="E119" s="83"/>
      <c r="F119" s="245"/>
      <c r="G119" s="83"/>
      <c r="H119" s="135"/>
    </row>
    <row r="120" spans="1:9" ht="18.75" x14ac:dyDescent="0.3">
      <c r="A120" s="98"/>
      <c r="B120" s="98"/>
      <c r="C120" s="135"/>
      <c r="D120" s="135"/>
      <c r="E120" s="135"/>
      <c r="F120" s="133"/>
      <c r="G120" s="135"/>
      <c r="H120" s="135"/>
    </row>
    <row r="121" spans="1:9" ht="26.25" customHeight="1" x14ac:dyDescent="0.4">
      <c r="A121" s="88" t="s">
        <v>126</v>
      </c>
      <c r="B121" s="207" t="s">
        <v>119</v>
      </c>
      <c r="C121" s="414" t="str">
        <f>B20</f>
        <v>Artemether &amp; Lumefantrine</v>
      </c>
      <c r="D121" s="414"/>
      <c r="E121" s="208" t="s">
        <v>120</v>
      </c>
      <c r="F121" s="208"/>
      <c r="G121" s="238">
        <f>F116</f>
        <v>0.60144282905657731</v>
      </c>
      <c r="H121" s="135"/>
    </row>
    <row r="122" spans="1:9" ht="18.75" x14ac:dyDescent="0.3">
      <c r="A122" s="98"/>
      <c r="B122" s="98"/>
      <c r="C122" s="135"/>
      <c r="D122" s="135"/>
      <c r="E122" s="135"/>
      <c r="F122" s="133"/>
      <c r="G122" s="135"/>
      <c r="H122" s="135"/>
    </row>
    <row r="123" spans="1:9" ht="26.25" customHeight="1" x14ac:dyDescent="0.4">
      <c r="A123" s="87" t="s">
        <v>127</v>
      </c>
      <c r="B123" s="87" t="s">
        <v>128</v>
      </c>
      <c r="D123" s="230" t="s">
        <v>131</v>
      </c>
    </row>
    <row r="124" spans="1:9" ht="19.5" customHeight="1" x14ac:dyDescent="0.3">
      <c r="A124" s="81"/>
      <c r="B124" s="81"/>
      <c r="C124" s="81"/>
      <c r="D124" s="81"/>
      <c r="E124" s="81"/>
    </row>
    <row r="125" spans="1:9" ht="26.25" customHeight="1" x14ac:dyDescent="0.4">
      <c r="A125" s="100" t="s">
        <v>114</v>
      </c>
      <c r="B125" s="231">
        <v>1000</v>
      </c>
      <c r="C125" s="141" t="s">
        <v>130</v>
      </c>
      <c r="D125" s="142" t="s">
        <v>60</v>
      </c>
      <c r="E125" s="143" t="s">
        <v>116</v>
      </c>
      <c r="F125" s="144" t="s">
        <v>117</v>
      </c>
    </row>
    <row r="126" spans="1:9" ht="26.25" customHeight="1" x14ac:dyDescent="0.4">
      <c r="A126" s="101" t="s">
        <v>118</v>
      </c>
      <c r="B126" s="232">
        <v>1</v>
      </c>
      <c r="C126" s="107">
        <v>1</v>
      </c>
      <c r="D126" s="233">
        <v>1119029</v>
      </c>
      <c r="E126" s="190">
        <f t="shared" ref="E126:E131" si="3">IF(ISBLANK(D126),"-",D126/$D$104*$D$101*$B$134)</f>
        <v>16.880650753450809</v>
      </c>
      <c r="F126" s="187">
        <f t="shared" ref="F126:F131" si="4">IF(ISBLANK(D126), "-", E126/$B$56)</f>
        <v>0.84403253767254038</v>
      </c>
    </row>
    <row r="127" spans="1:9" ht="26.25" customHeight="1" x14ac:dyDescent="0.4">
      <c r="A127" s="101" t="s">
        <v>91</v>
      </c>
      <c r="B127" s="232">
        <v>1</v>
      </c>
      <c r="C127" s="107">
        <v>2</v>
      </c>
      <c r="D127" s="233">
        <v>1123906</v>
      </c>
      <c r="E127" s="191">
        <f t="shared" si="3"/>
        <v>16.954220726815734</v>
      </c>
      <c r="F127" s="188">
        <f t="shared" si="4"/>
        <v>0.84771103634078671</v>
      </c>
    </row>
    <row r="128" spans="1:9" ht="26.25" customHeight="1" x14ac:dyDescent="0.4">
      <c r="A128" s="101" t="s">
        <v>92</v>
      </c>
      <c r="B128" s="232">
        <v>1</v>
      </c>
      <c r="C128" s="107">
        <v>3</v>
      </c>
      <c r="D128" s="233">
        <v>1074383</v>
      </c>
      <c r="E128" s="191">
        <f t="shared" si="3"/>
        <v>16.207161922027705</v>
      </c>
      <c r="F128" s="188">
        <f t="shared" si="4"/>
        <v>0.81035809610138521</v>
      </c>
    </row>
    <row r="129" spans="1:9" ht="26.25" customHeight="1" x14ac:dyDescent="0.4">
      <c r="A129" s="101" t="s">
        <v>93</v>
      </c>
      <c r="B129" s="232">
        <v>1</v>
      </c>
      <c r="C129" s="107">
        <v>4</v>
      </c>
      <c r="D129" s="233">
        <v>1033612</v>
      </c>
      <c r="E129" s="191">
        <f t="shared" si="3"/>
        <v>15.592127805960166</v>
      </c>
      <c r="F129" s="188">
        <f t="shared" si="4"/>
        <v>0.77960639029800827</v>
      </c>
    </row>
    <row r="130" spans="1:9" ht="26.25" customHeight="1" x14ac:dyDescent="0.4">
      <c r="A130" s="101" t="s">
        <v>94</v>
      </c>
      <c r="B130" s="232">
        <v>1</v>
      </c>
      <c r="C130" s="107">
        <v>5</v>
      </c>
      <c r="D130" s="233">
        <v>1027904</v>
      </c>
      <c r="E130" s="191">
        <f t="shared" si="3"/>
        <v>15.506022124605439</v>
      </c>
      <c r="F130" s="188">
        <f t="shared" si="4"/>
        <v>0.77530110623027193</v>
      </c>
    </row>
    <row r="131" spans="1:9" ht="26.25" customHeight="1" x14ac:dyDescent="0.4">
      <c r="A131" s="101" t="s">
        <v>96</v>
      </c>
      <c r="B131" s="232">
        <v>1</v>
      </c>
      <c r="C131" s="110">
        <v>6</v>
      </c>
      <c r="D131" s="234">
        <v>1023882</v>
      </c>
      <c r="E131" s="192">
        <f t="shared" si="3"/>
        <v>15.445349901338322</v>
      </c>
      <c r="F131" s="189">
        <f t="shared" si="4"/>
        <v>0.77226749506691605</v>
      </c>
    </row>
    <row r="132" spans="1:9" ht="26.25" customHeight="1" x14ac:dyDescent="0.4">
      <c r="A132" s="101" t="s">
        <v>97</v>
      </c>
      <c r="B132" s="232">
        <v>1</v>
      </c>
      <c r="C132" s="107"/>
      <c r="D132" s="133"/>
      <c r="E132" s="135"/>
      <c r="F132" s="145"/>
    </row>
    <row r="133" spans="1:9" ht="26.25" customHeight="1" x14ac:dyDescent="0.4">
      <c r="A133" s="101" t="s">
        <v>98</v>
      </c>
      <c r="B133" s="232">
        <v>1</v>
      </c>
      <c r="C133" s="107"/>
      <c r="D133" s="146"/>
      <c r="E133" s="147" t="s">
        <v>68</v>
      </c>
      <c r="F133" s="235">
        <f>AVERAGE(F126:F131)</f>
        <v>0.80487944361831809</v>
      </c>
    </row>
    <row r="134" spans="1:9" ht="27" customHeight="1" x14ac:dyDescent="0.4">
      <c r="A134" s="101" t="s">
        <v>99</v>
      </c>
      <c r="B134" s="239">
        <f>(B133/B132)*(B131/B130)*(B129/B128)*(B127/B126)*B125</f>
        <v>1000</v>
      </c>
      <c r="C134" s="148"/>
      <c r="D134" s="149"/>
      <c r="E134" s="150" t="s">
        <v>81</v>
      </c>
      <c r="F134" s="236">
        <f>STDEV(F126:F131)/F133</f>
        <v>4.2947820630396018E-2</v>
      </c>
    </row>
    <row r="135" spans="1:9" ht="27" customHeight="1" x14ac:dyDescent="0.4">
      <c r="A135" s="401" t="s">
        <v>75</v>
      </c>
      <c r="B135" s="405"/>
      <c r="C135" s="151"/>
      <c r="D135" s="152"/>
      <c r="E135" s="153" t="s">
        <v>20</v>
      </c>
      <c r="F135" s="237">
        <f>COUNT(F126:F131)</f>
        <v>6</v>
      </c>
      <c r="I135" s="139"/>
    </row>
    <row r="136" spans="1:9" ht="19.5" customHeight="1" x14ac:dyDescent="0.3">
      <c r="A136" s="403"/>
      <c r="B136" s="406"/>
      <c r="C136" s="135"/>
      <c r="D136" s="135"/>
      <c r="E136" s="135"/>
      <c r="F136" s="133"/>
      <c r="G136" s="135"/>
      <c r="H136" s="135"/>
    </row>
    <row r="137" spans="1:9" ht="18.75" x14ac:dyDescent="0.3">
      <c r="A137" s="98"/>
      <c r="B137" s="98"/>
      <c r="C137" s="135"/>
      <c r="D137" s="135"/>
      <c r="E137" s="135"/>
      <c r="F137" s="133"/>
      <c r="G137" s="135"/>
      <c r="H137" s="135"/>
    </row>
    <row r="138" spans="1:9" ht="26.25" customHeight="1" x14ac:dyDescent="0.4">
      <c r="A138" s="88" t="s">
        <v>126</v>
      </c>
      <c r="B138" s="207" t="s">
        <v>119</v>
      </c>
      <c r="C138" s="414" t="str">
        <f>B20</f>
        <v>Artemether &amp; Lumefantrine</v>
      </c>
      <c r="D138" s="414"/>
      <c r="E138" s="208" t="s">
        <v>120</v>
      </c>
      <c r="F138" s="208"/>
      <c r="G138" s="238">
        <f>F133</f>
        <v>0.80487944361831809</v>
      </c>
      <c r="H138" s="135"/>
    </row>
    <row r="139" spans="1:9" ht="19.5" customHeight="1" x14ac:dyDescent="0.3">
      <c r="A139" s="162"/>
      <c r="B139" s="162"/>
      <c r="C139" s="163"/>
      <c r="D139" s="163"/>
      <c r="E139" s="163"/>
      <c r="F139" s="163"/>
      <c r="G139" s="163"/>
      <c r="H139" s="163"/>
    </row>
    <row r="140" spans="1:9" ht="18.75" x14ac:dyDescent="0.3">
      <c r="B140" s="415" t="s">
        <v>23</v>
      </c>
      <c r="C140" s="415"/>
      <c r="E140" s="155" t="s">
        <v>24</v>
      </c>
      <c r="F140" s="176"/>
      <c r="G140" s="415" t="s">
        <v>25</v>
      </c>
      <c r="H140" s="415"/>
    </row>
    <row r="141" spans="1:9" ht="83.1" customHeight="1" x14ac:dyDescent="0.3">
      <c r="A141" s="177" t="s">
        <v>26</v>
      </c>
      <c r="B141" s="205"/>
      <c r="C141" s="205"/>
      <c r="E141" s="172"/>
      <c r="F141" s="135"/>
      <c r="G141" s="174"/>
      <c r="H141" s="174"/>
    </row>
    <row r="142" spans="1:9" ht="83.1" customHeight="1" x14ac:dyDescent="0.3">
      <c r="A142" s="177" t="s">
        <v>27</v>
      </c>
      <c r="B142" s="206"/>
      <c r="C142" s="206"/>
      <c r="E142" s="173"/>
      <c r="F142" s="135"/>
      <c r="G142" s="175"/>
      <c r="H142" s="175"/>
    </row>
    <row r="143" spans="1:9" ht="18.75" x14ac:dyDescent="0.3">
      <c r="A143" s="132"/>
      <c r="B143" s="132"/>
      <c r="C143" s="133"/>
      <c r="D143" s="133"/>
      <c r="E143" s="133"/>
      <c r="F143" s="134"/>
      <c r="G143" s="133"/>
      <c r="H143" s="133"/>
    </row>
    <row r="144" spans="1:9" ht="18.75" x14ac:dyDescent="0.3">
      <c r="A144" s="132"/>
      <c r="B144" s="132"/>
      <c r="C144" s="133"/>
      <c r="D144" s="133"/>
      <c r="E144" s="133"/>
      <c r="F144" s="134"/>
      <c r="G144" s="133"/>
      <c r="H144" s="133"/>
    </row>
    <row r="145" spans="1:8" ht="18.75" x14ac:dyDescent="0.3">
      <c r="A145" s="132"/>
      <c r="B145" s="132"/>
      <c r="C145" s="133"/>
      <c r="D145" s="133"/>
      <c r="E145" s="133"/>
      <c r="F145" s="134"/>
      <c r="G145" s="133"/>
      <c r="H145" s="133"/>
    </row>
    <row r="146" spans="1:8" ht="18.75" x14ac:dyDescent="0.3">
      <c r="A146" s="132"/>
      <c r="B146" s="132"/>
      <c r="C146" s="133"/>
      <c r="D146" s="133"/>
      <c r="E146" s="133"/>
      <c r="F146" s="134"/>
      <c r="G146" s="133"/>
      <c r="H146" s="133"/>
    </row>
    <row r="147" spans="1:8" ht="18.75" x14ac:dyDescent="0.3">
      <c r="A147" s="132"/>
      <c r="B147" s="132"/>
      <c r="C147" s="133"/>
      <c r="D147" s="133"/>
      <c r="E147" s="133"/>
      <c r="F147" s="134"/>
      <c r="G147" s="133"/>
      <c r="H147" s="133"/>
    </row>
    <row r="148" spans="1:8" ht="18.75" x14ac:dyDescent="0.3">
      <c r="A148" s="132"/>
      <c r="B148" s="132"/>
      <c r="C148" s="133"/>
      <c r="D148" s="133"/>
      <c r="E148" s="133"/>
      <c r="F148" s="134"/>
      <c r="G148" s="133"/>
      <c r="H148" s="133"/>
    </row>
    <row r="149" spans="1:8" ht="18.75" x14ac:dyDescent="0.3">
      <c r="A149" s="132"/>
      <c r="B149" s="132"/>
      <c r="C149" s="133"/>
      <c r="D149" s="133"/>
      <c r="E149" s="133"/>
      <c r="F149" s="134"/>
      <c r="G149" s="133"/>
      <c r="H149" s="133"/>
    </row>
    <row r="150" spans="1:8" ht="18.75" x14ac:dyDescent="0.3">
      <c r="A150" s="132"/>
      <c r="B150" s="132"/>
      <c r="C150" s="133"/>
      <c r="D150" s="133"/>
      <c r="E150" s="133"/>
      <c r="F150" s="134"/>
      <c r="G150" s="133"/>
      <c r="H150" s="133"/>
    </row>
    <row r="151" spans="1:8" ht="18.75" x14ac:dyDescent="0.3">
      <c r="A151" s="132"/>
      <c r="B151" s="132"/>
      <c r="C151" s="133"/>
      <c r="D151" s="133"/>
      <c r="E151" s="133"/>
      <c r="F151" s="134"/>
      <c r="G151" s="133"/>
      <c r="H151" s="1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2:G82"/>
    <mergeCell ref="A70:B71"/>
    <mergeCell ref="C76:D76"/>
    <mergeCell ref="A1:H7"/>
    <mergeCell ref="A8:H14"/>
    <mergeCell ref="A16:H16"/>
    <mergeCell ref="C84:H84"/>
    <mergeCell ref="C85:H85"/>
    <mergeCell ref="B79:C79"/>
    <mergeCell ref="B26:C26"/>
    <mergeCell ref="B18:C18"/>
    <mergeCell ref="B20:C20"/>
    <mergeCell ref="B21:H21"/>
  </mergeCells>
  <printOptions horizontalCentered="1" verticalCentered="1"/>
  <pageMargins left="0.7" right="0.7" top="0.75" bottom="0.75" header="0.3" footer="0.3"/>
  <pageSetup paperSize="9" scale="21" fitToHeight="2" orientation="portrait" r:id="rId1"/>
  <headerFooter alignWithMargins="0"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1" zoomScale="40" zoomScaleNormal="40" zoomScaleSheetLayoutView="40" zoomScalePageLayoutView="55" workbookViewId="0">
      <selection activeCell="F117" sqref="F117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254"/>
  </cols>
  <sheetData>
    <row r="1" spans="1:9" ht="18.75" customHeight="1" x14ac:dyDescent="0.3">
      <c r="A1" s="388" t="s">
        <v>42</v>
      </c>
      <c r="B1" s="388"/>
      <c r="C1" s="388"/>
      <c r="D1" s="388"/>
      <c r="E1" s="388"/>
      <c r="F1" s="388"/>
      <c r="G1" s="388"/>
      <c r="H1" s="388"/>
      <c r="I1" s="388"/>
    </row>
    <row r="2" spans="1:9" ht="18.75" customHeight="1" x14ac:dyDescent="0.3">
      <c r="A2" s="388"/>
      <c r="B2" s="388"/>
      <c r="C2" s="388"/>
      <c r="D2" s="388"/>
      <c r="E2" s="388"/>
      <c r="F2" s="388"/>
      <c r="G2" s="388"/>
      <c r="H2" s="388"/>
      <c r="I2" s="388"/>
    </row>
    <row r="3" spans="1:9" ht="18.75" customHeight="1" x14ac:dyDescent="0.3">
      <c r="A3" s="388"/>
      <c r="B3" s="388"/>
      <c r="C3" s="388"/>
      <c r="D3" s="388"/>
      <c r="E3" s="388"/>
      <c r="F3" s="388"/>
      <c r="G3" s="388"/>
      <c r="H3" s="388"/>
      <c r="I3" s="388"/>
    </row>
    <row r="4" spans="1:9" ht="18.75" customHeight="1" x14ac:dyDescent="0.3">
      <c r="A4" s="388"/>
      <c r="B4" s="388"/>
      <c r="C4" s="388"/>
      <c r="D4" s="388"/>
      <c r="E4" s="388"/>
      <c r="F4" s="388"/>
      <c r="G4" s="388"/>
      <c r="H4" s="388"/>
      <c r="I4" s="388"/>
    </row>
    <row r="5" spans="1:9" ht="18.75" customHeight="1" x14ac:dyDescent="0.3">
      <c r="A5" s="388"/>
      <c r="B5" s="388"/>
      <c r="C5" s="388"/>
      <c r="D5" s="388"/>
      <c r="E5" s="388"/>
      <c r="F5" s="388"/>
      <c r="G5" s="388"/>
      <c r="H5" s="388"/>
      <c r="I5" s="388"/>
    </row>
    <row r="6" spans="1:9" ht="18.75" customHeight="1" x14ac:dyDescent="0.3">
      <c r="A6" s="388"/>
      <c r="B6" s="388"/>
      <c r="C6" s="388"/>
      <c r="D6" s="388"/>
      <c r="E6" s="388"/>
      <c r="F6" s="388"/>
      <c r="G6" s="388"/>
      <c r="H6" s="388"/>
      <c r="I6" s="388"/>
    </row>
    <row r="7" spans="1:9" ht="18.75" customHeight="1" x14ac:dyDescent="0.3">
      <c r="A7" s="388"/>
      <c r="B7" s="388"/>
      <c r="C7" s="388"/>
      <c r="D7" s="388"/>
      <c r="E7" s="388"/>
      <c r="F7" s="388"/>
      <c r="G7" s="388"/>
      <c r="H7" s="388"/>
      <c r="I7" s="388"/>
    </row>
    <row r="8" spans="1:9" x14ac:dyDescent="0.3">
      <c r="A8" s="389" t="s">
        <v>43</v>
      </c>
      <c r="B8" s="389"/>
      <c r="C8" s="389"/>
      <c r="D8" s="389"/>
      <c r="E8" s="389"/>
      <c r="F8" s="389"/>
      <c r="G8" s="389"/>
      <c r="H8" s="389"/>
      <c r="I8" s="389"/>
    </row>
    <row r="9" spans="1:9" x14ac:dyDescent="0.3">
      <c r="A9" s="389"/>
      <c r="B9" s="389"/>
      <c r="C9" s="389"/>
      <c r="D9" s="389"/>
      <c r="E9" s="389"/>
      <c r="F9" s="389"/>
      <c r="G9" s="389"/>
      <c r="H9" s="389"/>
      <c r="I9" s="389"/>
    </row>
    <row r="10" spans="1:9" x14ac:dyDescent="0.3">
      <c r="A10" s="389"/>
      <c r="B10" s="389"/>
      <c r="C10" s="389"/>
      <c r="D10" s="389"/>
      <c r="E10" s="389"/>
      <c r="F10" s="389"/>
      <c r="G10" s="389"/>
      <c r="H10" s="389"/>
      <c r="I10" s="389"/>
    </row>
    <row r="11" spans="1:9" x14ac:dyDescent="0.3">
      <c r="A11" s="389"/>
      <c r="B11" s="389"/>
      <c r="C11" s="389"/>
      <c r="D11" s="389"/>
      <c r="E11" s="389"/>
      <c r="F11" s="389"/>
      <c r="G11" s="389"/>
      <c r="H11" s="389"/>
      <c r="I11" s="389"/>
    </row>
    <row r="12" spans="1:9" x14ac:dyDescent="0.3">
      <c r="A12" s="389"/>
      <c r="B12" s="389"/>
      <c r="C12" s="389"/>
      <c r="D12" s="389"/>
      <c r="E12" s="389"/>
      <c r="F12" s="389"/>
      <c r="G12" s="389"/>
      <c r="H12" s="389"/>
      <c r="I12" s="389"/>
    </row>
    <row r="13" spans="1:9" x14ac:dyDescent="0.3">
      <c r="A13" s="389"/>
      <c r="B13" s="389"/>
      <c r="C13" s="389"/>
      <c r="D13" s="389"/>
      <c r="E13" s="389"/>
      <c r="F13" s="389"/>
      <c r="G13" s="389"/>
      <c r="H13" s="389"/>
      <c r="I13" s="389"/>
    </row>
    <row r="14" spans="1:9" x14ac:dyDescent="0.3">
      <c r="A14" s="389"/>
      <c r="B14" s="389"/>
      <c r="C14" s="389"/>
      <c r="D14" s="389"/>
      <c r="E14" s="389"/>
      <c r="F14" s="389"/>
      <c r="G14" s="389"/>
      <c r="H14" s="389"/>
      <c r="I14" s="389"/>
    </row>
    <row r="15" spans="1:9" ht="19.5" customHeight="1" x14ac:dyDescent="0.3">
      <c r="A15" s="83"/>
    </row>
    <row r="16" spans="1:9" ht="19.5" customHeight="1" x14ac:dyDescent="0.3">
      <c r="A16" s="424" t="s">
        <v>28</v>
      </c>
      <c r="B16" s="425"/>
      <c r="C16" s="425"/>
      <c r="D16" s="425"/>
      <c r="E16" s="425"/>
      <c r="F16" s="425"/>
      <c r="G16" s="425"/>
      <c r="H16" s="426"/>
    </row>
    <row r="17" spans="1:14" ht="20.25" customHeight="1" x14ac:dyDescent="0.3">
      <c r="A17" s="427" t="s">
        <v>44</v>
      </c>
      <c r="B17" s="427"/>
      <c r="C17" s="427"/>
      <c r="D17" s="427"/>
      <c r="E17" s="427"/>
      <c r="F17" s="427"/>
      <c r="G17" s="427"/>
      <c r="H17" s="427"/>
    </row>
    <row r="18" spans="1:14" ht="26.25" customHeight="1" x14ac:dyDescent="0.4">
      <c r="A18" s="83" t="s">
        <v>30</v>
      </c>
      <c r="B18" s="397" t="s">
        <v>5</v>
      </c>
      <c r="C18" s="397"/>
      <c r="D18" s="78"/>
      <c r="E18" s="76"/>
      <c r="F18" s="312"/>
      <c r="G18" s="312"/>
      <c r="H18" s="312"/>
    </row>
    <row r="19" spans="1:14" ht="26.25" customHeight="1" x14ac:dyDescent="0.4">
      <c r="A19" s="83" t="s">
        <v>31</v>
      </c>
      <c r="B19" s="242" t="s">
        <v>7</v>
      </c>
      <c r="C19" s="312">
        <v>1</v>
      </c>
      <c r="D19" s="312"/>
      <c r="E19" s="312"/>
      <c r="F19" s="312"/>
      <c r="G19" s="312"/>
      <c r="H19" s="312"/>
    </row>
    <row r="20" spans="1:14" ht="26.25" customHeight="1" x14ac:dyDescent="0.4">
      <c r="A20" s="83" t="s">
        <v>32</v>
      </c>
      <c r="B20" s="397" t="s">
        <v>9</v>
      </c>
      <c r="C20" s="397"/>
      <c r="D20" s="312"/>
      <c r="E20" s="312"/>
      <c r="F20" s="312"/>
      <c r="G20" s="312"/>
      <c r="H20" s="312"/>
    </row>
    <row r="21" spans="1:14" ht="26.25" customHeight="1" x14ac:dyDescent="0.4">
      <c r="A21" s="83" t="s">
        <v>33</v>
      </c>
      <c r="B21" s="397" t="s">
        <v>11</v>
      </c>
      <c r="C21" s="397"/>
      <c r="D21" s="397"/>
      <c r="E21" s="397"/>
      <c r="F21" s="397"/>
      <c r="G21" s="397"/>
      <c r="H21" s="397"/>
      <c r="I21" s="313"/>
    </row>
    <row r="22" spans="1:14" ht="26.25" customHeight="1" x14ac:dyDescent="0.4">
      <c r="A22" s="83" t="s">
        <v>34</v>
      </c>
      <c r="B22" s="314" t="s">
        <v>12</v>
      </c>
      <c r="C22" s="312"/>
      <c r="D22" s="312"/>
      <c r="E22" s="312"/>
      <c r="F22" s="312"/>
      <c r="G22" s="312"/>
      <c r="H22" s="312"/>
    </row>
    <row r="23" spans="1:14" ht="26.25" customHeight="1" x14ac:dyDescent="0.4">
      <c r="A23" s="83" t="s">
        <v>35</v>
      </c>
      <c r="B23" s="314"/>
      <c r="C23" s="312"/>
      <c r="D23" s="312"/>
      <c r="E23" s="312"/>
      <c r="F23" s="312"/>
      <c r="G23" s="312"/>
      <c r="H23" s="312"/>
    </row>
    <row r="24" spans="1:14" ht="18.75" x14ac:dyDescent="0.3">
      <c r="A24" s="83"/>
      <c r="B24" s="315"/>
    </row>
    <row r="25" spans="1:14" ht="18.75" x14ac:dyDescent="0.3">
      <c r="A25" s="87" t="s">
        <v>1</v>
      </c>
      <c r="B25" s="315"/>
    </row>
    <row r="26" spans="1:14" ht="26.25" customHeight="1" x14ac:dyDescent="0.4">
      <c r="A26" s="177" t="s">
        <v>4</v>
      </c>
      <c r="B26" s="397" t="s">
        <v>133</v>
      </c>
      <c r="C26" s="397"/>
    </row>
    <row r="27" spans="1:14" ht="26.25" customHeight="1" x14ac:dyDescent="0.4">
      <c r="A27" s="177" t="s">
        <v>45</v>
      </c>
      <c r="B27" s="396" t="s">
        <v>134</v>
      </c>
      <c r="C27" s="396"/>
    </row>
    <row r="28" spans="1:14" ht="27" customHeight="1" x14ac:dyDescent="0.4">
      <c r="A28" s="177" t="s">
        <v>6</v>
      </c>
      <c r="B28" s="211">
        <v>100.2</v>
      </c>
    </row>
    <row r="29" spans="1:14" s="9" customFormat="1" ht="27" customHeight="1" x14ac:dyDescent="0.4">
      <c r="A29" s="177" t="s">
        <v>46</v>
      </c>
      <c r="B29" s="211"/>
      <c r="C29" s="407" t="s">
        <v>47</v>
      </c>
      <c r="D29" s="408"/>
      <c r="E29" s="408"/>
      <c r="F29" s="408"/>
      <c r="G29" s="409"/>
      <c r="I29" s="92"/>
      <c r="J29" s="92"/>
      <c r="K29" s="92"/>
      <c r="L29" s="92"/>
    </row>
    <row r="30" spans="1:14" s="9" customFormat="1" ht="19.5" customHeight="1" x14ac:dyDescent="0.3">
      <c r="A30" s="177" t="s">
        <v>48</v>
      </c>
      <c r="B30" s="245">
        <f>B28-B29</f>
        <v>100.2</v>
      </c>
      <c r="C30" s="316"/>
      <c r="D30" s="316"/>
      <c r="E30" s="316"/>
      <c r="F30" s="316"/>
      <c r="G30" s="317"/>
      <c r="I30" s="92"/>
      <c r="J30" s="92"/>
      <c r="K30" s="92"/>
      <c r="L30" s="92"/>
    </row>
    <row r="31" spans="1:14" s="9" customFormat="1" ht="27" customHeight="1" x14ac:dyDescent="0.4">
      <c r="A31" s="177" t="s">
        <v>49</v>
      </c>
      <c r="B31" s="212">
        <v>1</v>
      </c>
      <c r="C31" s="393" t="s">
        <v>50</v>
      </c>
      <c r="D31" s="394"/>
      <c r="E31" s="394"/>
      <c r="F31" s="394"/>
      <c r="G31" s="394"/>
      <c r="H31" s="395"/>
      <c r="I31" s="92"/>
      <c r="J31" s="92"/>
      <c r="K31" s="92"/>
      <c r="L31" s="92"/>
    </row>
    <row r="32" spans="1:14" s="9" customFormat="1" ht="27" customHeight="1" x14ac:dyDescent="0.4">
      <c r="A32" s="177" t="s">
        <v>51</v>
      </c>
      <c r="B32" s="212">
        <v>1</v>
      </c>
      <c r="C32" s="393" t="s">
        <v>52</v>
      </c>
      <c r="D32" s="394"/>
      <c r="E32" s="394"/>
      <c r="F32" s="394"/>
      <c r="G32" s="394"/>
      <c r="H32" s="395"/>
      <c r="I32" s="92"/>
      <c r="J32" s="92"/>
      <c r="K32" s="92"/>
      <c r="L32" s="96"/>
      <c r="M32" s="96"/>
      <c r="N32" s="318"/>
    </row>
    <row r="33" spans="1:14" s="9" customFormat="1" ht="17.25" customHeight="1" x14ac:dyDescent="0.3">
      <c r="A33" s="177"/>
      <c r="B33" s="95"/>
      <c r="C33" s="98"/>
      <c r="D33" s="98"/>
      <c r="E33" s="98"/>
      <c r="F33" s="98"/>
      <c r="G33" s="98"/>
      <c r="H33" s="98"/>
      <c r="I33" s="92"/>
      <c r="J33" s="92"/>
      <c r="K33" s="92"/>
      <c r="L33" s="96"/>
      <c r="M33" s="96"/>
      <c r="N33" s="318"/>
    </row>
    <row r="34" spans="1:14" s="9" customFormat="1" ht="18.75" x14ac:dyDescent="0.3">
      <c r="A34" s="177" t="s">
        <v>53</v>
      </c>
      <c r="B34" s="99">
        <f>B31/B32</f>
        <v>1</v>
      </c>
      <c r="C34" s="83" t="s">
        <v>54</v>
      </c>
      <c r="D34" s="83"/>
      <c r="E34" s="83"/>
      <c r="F34" s="83"/>
      <c r="G34" s="83"/>
      <c r="I34" s="92"/>
      <c r="J34" s="92"/>
      <c r="K34" s="92"/>
      <c r="L34" s="96"/>
      <c r="M34" s="96"/>
      <c r="N34" s="318"/>
    </row>
    <row r="35" spans="1:14" s="9" customFormat="1" ht="19.5" customHeight="1" x14ac:dyDescent="0.3">
      <c r="A35" s="177"/>
      <c r="B35" s="245"/>
      <c r="G35" s="83"/>
      <c r="I35" s="92"/>
      <c r="J35" s="92"/>
      <c r="K35" s="92"/>
      <c r="L35" s="96"/>
      <c r="M35" s="96"/>
      <c r="N35" s="318"/>
    </row>
    <row r="36" spans="1:14" s="9" customFormat="1" ht="27" customHeight="1" x14ac:dyDescent="0.4">
      <c r="A36" s="273" t="s">
        <v>55</v>
      </c>
      <c r="B36" s="213">
        <v>50</v>
      </c>
      <c r="C36" s="83"/>
      <c r="D36" s="399" t="s">
        <v>56</v>
      </c>
      <c r="E36" s="423"/>
      <c r="F36" s="399" t="s">
        <v>57</v>
      </c>
      <c r="G36" s="400"/>
      <c r="J36" s="92"/>
      <c r="K36" s="92"/>
      <c r="L36" s="96"/>
      <c r="M36" s="96"/>
      <c r="N36" s="318"/>
    </row>
    <row r="37" spans="1:14" s="9" customFormat="1" ht="27" customHeight="1" x14ac:dyDescent="0.4">
      <c r="A37" s="274" t="s">
        <v>138</v>
      </c>
      <c r="B37" s="214">
        <v>4</v>
      </c>
      <c r="C37" s="103" t="s">
        <v>59</v>
      </c>
      <c r="D37" s="104" t="s">
        <v>60</v>
      </c>
      <c r="E37" s="156" t="s">
        <v>61</v>
      </c>
      <c r="F37" s="104" t="s">
        <v>60</v>
      </c>
      <c r="G37" s="65" t="s">
        <v>61</v>
      </c>
      <c r="I37" s="66" t="s">
        <v>62</v>
      </c>
      <c r="J37" s="92"/>
      <c r="K37" s="92"/>
      <c r="L37" s="96"/>
      <c r="M37" s="96"/>
      <c r="N37" s="318"/>
    </row>
    <row r="38" spans="1:14" s="9" customFormat="1" ht="26.25" customHeight="1" x14ac:dyDescent="0.4">
      <c r="A38" s="274" t="s">
        <v>139</v>
      </c>
      <c r="B38" s="214">
        <v>20</v>
      </c>
      <c r="C38" s="319">
        <v>1</v>
      </c>
      <c r="D38" s="249">
        <v>7634985</v>
      </c>
      <c r="E38" s="320">
        <f>IF(ISBLANK(D38),"-",$D$48/$D$45*D38)</f>
        <v>7871637.9225021033</v>
      </c>
      <c r="F38" s="250">
        <v>9673668</v>
      </c>
      <c r="G38" s="321">
        <f>IF(ISBLANK(F38),"-",$D$48/$F$45*F38)</f>
        <v>8072206.7570544509</v>
      </c>
      <c r="I38" s="322"/>
      <c r="J38" s="92"/>
      <c r="K38" s="92"/>
      <c r="L38" s="96"/>
      <c r="M38" s="96"/>
      <c r="N38" s="318"/>
    </row>
    <row r="39" spans="1:14" s="9" customFormat="1" ht="26.25" customHeight="1" x14ac:dyDescent="0.4">
      <c r="A39" s="274" t="s">
        <v>140</v>
      </c>
      <c r="B39" s="214">
        <v>1</v>
      </c>
      <c r="C39" s="186">
        <v>2</v>
      </c>
      <c r="D39" s="249">
        <v>7667532</v>
      </c>
      <c r="E39" s="323">
        <f>IF(ISBLANK(D39),"-",$D$48/$D$45*D39)</f>
        <v>7905193.7447419204</v>
      </c>
      <c r="F39" s="250">
        <v>9652197</v>
      </c>
      <c r="G39" s="324">
        <f>IF(ISBLANK(F39),"-",$D$48/$F$45*F39)</f>
        <v>8054290.2489335686</v>
      </c>
      <c r="I39" s="428">
        <f>ABS((F43/D43*D42)-F42)/D42</f>
        <v>2.5616791114759757E-2</v>
      </c>
      <c r="J39" s="92"/>
      <c r="K39" s="92"/>
      <c r="L39" s="96"/>
      <c r="M39" s="96"/>
      <c r="N39" s="318"/>
    </row>
    <row r="40" spans="1:14" ht="26.25" customHeight="1" x14ac:dyDescent="0.4">
      <c r="A40" s="274" t="s">
        <v>141</v>
      </c>
      <c r="B40" s="214">
        <v>1</v>
      </c>
      <c r="C40" s="186">
        <v>3</v>
      </c>
      <c r="D40" s="249">
        <v>7678672</v>
      </c>
      <c r="E40" s="323">
        <f>IF(ISBLANK(D40),"-",$D$48/$D$45*D40)</f>
        <v>7916679.0386169804</v>
      </c>
      <c r="F40" s="250">
        <v>9656953</v>
      </c>
      <c r="G40" s="324">
        <f>IF(ISBLANK(F40),"-",$D$48/$F$45*F40)</f>
        <v>8058258.9002596792</v>
      </c>
      <c r="I40" s="428"/>
      <c r="L40" s="96"/>
      <c r="M40" s="96"/>
      <c r="N40" s="83"/>
    </row>
    <row r="41" spans="1:14" ht="27" customHeight="1" x14ac:dyDescent="0.4">
      <c r="A41" s="274" t="s">
        <v>142</v>
      </c>
      <c r="B41" s="214">
        <v>1</v>
      </c>
      <c r="C41" s="325">
        <v>4</v>
      </c>
      <c r="D41" s="249"/>
      <c r="E41" s="326" t="str">
        <f>IF(ISBLANK(D41),"-",$D$48/$D$45*D41)</f>
        <v>-</v>
      </c>
      <c r="F41" s="250"/>
      <c r="G41" s="327" t="str">
        <f>IF(ISBLANK(F41),"-",$D$48/$F$45*F41)</f>
        <v>-</v>
      </c>
      <c r="I41" s="328"/>
      <c r="L41" s="96"/>
      <c r="M41" s="96"/>
      <c r="N41" s="83"/>
    </row>
    <row r="42" spans="1:14" ht="27" customHeight="1" x14ac:dyDescent="0.4">
      <c r="A42" s="274" t="s">
        <v>143</v>
      </c>
      <c r="B42" s="214">
        <v>1</v>
      </c>
      <c r="C42" s="329" t="s">
        <v>68</v>
      </c>
      <c r="D42" s="112">
        <f>AVERAGE(D38:D41)</f>
        <v>7660396.333333333</v>
      </c>
      <c r="E42" s="136">
        <f>AVERAGE(E38:E41)</f>
        <v>7897836.9019536683</v>
      </c>
      <c r="F42" s="112">
        <f>AVERAGE(F38:F41)</f>
        <v>9660939.333333334</v>
      </c>
      <c r="G42" s="113">
        <f>AVERAGE(G38:G41)</f>
        <v>8061585.3020825656</v>
      </c>
      <c r="H42" s="270"/>
    </row>
    <row r="43" spans="1:14" ht="26.25" customHeight="1" x14ac:dyDescent="0.4">
      <c r="A43" s="274" t="s">
        <v>144</v>
      </c>
      <c r="B43" s="214">
        <v>1</v>
      </c>
      <c r="C43" s="330" t="s">
        <v>70</v>
      </c>
      <c r="D43" s="219">
        <v>14.52</v>
      </c>
      <c r="E43" s="83"/>
      <c r="F43" s="219">
        <v>17.940000000000001</v>
      </c>
      <c r="H43" s="270"/>
    </row>
    <row r="44" spans="1:14" ht="26.25" customHeight="1" x14ac:dyDescent="0.4">
      <c r="A44" s="274" t="s">
        <v>145</v>
      </c>
      <c r="B44" s="214">
        <v>1</v>
      </c>
      <c r="C44" s="331" t="s">
        <v>72</v>
      </c>
      <c r="D44" s="286">
        <f>D43*$B$34</f>
        <v>14.52</v>
      </c>
      <c r="E44" s="245"/>
      <c r="F44" s="286">
        <f>F43*$B$34</f>
        <v>17.940000000000001</v>
      </c>
      <c r="H44" s="270"/>
    </row>
    <row r="45" spans="1:14" ht="19.5" customHeight="1" x14ac:dyDescent="0.3">
      <c r="A45" s="274" t="s">
        <v>73</v>
      </c>
      <c r="B45" s="186">
        <f>(B44/B43)*(B42/B41)*(B40/B39)*(B38/B37)*B36</f>
        <v>250</v>
      </c>
      <c r="C45" s="331" t="s">
        <v>74</v>
      </c>
      <c r="D45" s="288">
        <f>D44*$B$30/100</f>
        <v>14.54904</v>
      </c>
      <c r="E45" s="95"/>
      <c r="F45" s="288">
        <f>F44*$B$30/100</f>
        <v>17.975880000000004</v>
      </c>
      <c r="H45" s="270"/>
    </row>
    <row r="46" spans="1:14" ht="19.5" customHeight="1" x14ac:dyDescent="0.3">
      <c r="A46" s="401" t="s">
        <v>75</v>
      </c>
      <c r="B46" s="405"/>
      <c r="C46" s="331" t="s">
        <v>76</v>
      </c>
      <c r="D46" s="332">
        <f>D45/$B$45</f>
        <v>5.8196159999999997E-2</v>
      </c>
      <c r="E46" s="333"/>
      <c r="F46" s="334">
        <f>F45/$B$45</f>
        <v>7.1903520000000012E-2</v>
      </c>
      <c r="H46" s="270"/>
    </row>
    <row r="47" spans="1:14" ht="27" customHeight="1" x14ac:dyDescent="0.4">
      <c r="A47" s="403"/>
      <c r="B47" s="406"/>
      <c r="C47" s="335" t="s">
        <v>77</v>
      </c>
      <c r="D47" s="67">
        <v>0.06</v>
      </c>
      <c r="E47" s="336"/>
      <c r="F47" s="333"/>
      <c r="H47" s="270"/>
    </row>
    <row r="48" spans="1:14" ht="18.75" x14ac:dyDescent="0.3">
      <c r="C48" s="337" t="s">
        <v>78</v>
      </c>
      <c r="D48" s="288">
        <f>D47*$B$45</f>
        <v>15</v>
      </c>
      <c r="F48" s="290"/>
      <c r="H48" s="270"/>
    </row>
    <row r="49" spans="1:12" ht="19.5" customHeight="1" x14ac:dyDescent="0.3">
      <c r="C49" s="338" t="s">
        <v>79</v>
      </c>
      <c r="D49" s="339">
        <f>D48/B34</f>
        <v>15</v>
      </c>
      <c r="F49" s="290"/>
      <c r="H49" s="270"/>
    </row>
    <row r="50" spans="1:12" ht="18.75" x14ac:dyDescent="0.3">
      <c r="C50" s="273" t="s">
        <v>80</v>
      </c>
      <c r="D50" s="68">
        <f>AVERAGE(E38:E41,G38:G41)</f>
        <v>7979711.1020181179</v>
      </c>
      <c r="F50" s="146"/>
      <c r="H50" s="270"/>
    </row>
    <row r="51" spans="1:12" ht="18.75" x14ac:dyDescent="0.3">
      <c r="C51" s="274" t="s">
        <v>81</v>
      </c>
      <c r="D51" s="138">
        <f>STDEV(E38:E41,G38:G41)/D50</f>
        <v>1.1416025811954087E-2</v>
      </c>
      <c r="F51" s="146"/>
      <c r="H51" s="270"/>
    </row>
    <row r="52" spans="1:12" ht="19.5" customHeight="1" x14ac:dyDescent="0.3">
      <c r="C52" s="340" t="s">
        <v>20</v>
      </c>
      <c r="D52" s="341">
        <f>COUNT(E38:E41,G38:G41)</f>
        <v>6</v>
      </c>
      <c r="F52" s="146"/>
    </row>
    <row r="54" spans="1:12" ht="18.75" x14ac:dyDescent="0.3">
      <c r="A54" s="81" t="s">
        <v>1</v>
      </c>
      <c r="B54" s="126" t="s">
        <v>82</v>
      </c>
    </row>
    <row r="55" spans="1:12" ht="18.75" x14ac:dyDescent="0.3">
      <c r="A55" s="83" t="s">
        <v>83</v>
      </c>
      <c r="B55" s="126" t="str">
        <f>B21</f>
        <v>Each tablet contains:
Artemether 20 mg
Lumefantrine 120 mg</v>
      </c>
    </row>
    <row r="56" spans="1:12" ht="26.25" customHeight="1" x14ac:dyDescent="0.4">
      <c r="A56" s="126" t="s">
        <v>84</v>
      </c>
      <c r="B56" s="69">
        <v>120</v>
      </c>
      <c r="C56" s="83" t="str">
        <f>B20</f>
        <v>Artemether &amp; Lumefantrine</v>
      </c>
      <c r="H56" s="245"/>
    </row>
    <row r="57" spans="1:12" ht="18.75" x14ac:dyDescent="0.3">
      <c r="A57" s="126" t="s">
        <v>85</v>
      </c>
      <c r="B57" s="240">
        <f>Uniformity!C46</f>
        <v>611.30149999999992</v>
      </c>
      <c r="H57" s="245"/>
    </row>
    <row r="58" spans="1:12" ht="19.5" customHeight="1" x14ac:dyDescent="0.3">
      <c r="H58" s="245"/>
    </row>
    <row r="59" spans="1:12" s="9" customFormat="1" ht="27" customHeight="1" x14ac:dyDescent="0.4">
      <c r="A59" s="273" t="s">
        <v>86</v>
      </c>
      <c r="B59" s="213">
        <v>100</v>
      </c>
      <c r="C59" s="83"/>
      <c r="D59" s="128" t="s">
        <v>87</v>
      </c>
      <c r="E59" s="127" t="s">
        <v>59</v>
      </c>
      <c r="F59" s="127" t="s">
        <v>60</v>
      </c>
      <c r="G59" s="127" t="s">
        <v>88</v>
      </c>
      <c r="H59" s="103" t="s">
        <v>89</v>
      </c>
      <c r="L59" s="92"/>
    </row>
    <row r="60" spans="1:12" s="9" customFormat="1" ht="26.25" customHeight="1" x14ac:dyDescent="0.4">
      <c r="A60" s="274" t="s">
        <v>154</v>
      </c>
      <c r="B60" s="214">
        <v>4</v>
      </c>
      <c r="C60" s="416" t="s">
        <v>90</v>
      </c>
      <c r="D60" s="420">
        <v>161.01</v>
      </c>
      <c r="E60" s="127">
        <v>1</v>
      </c>
      <c r="F60" s="222">
        <v>8830306</v>
      </c>
      <c r="G60" s="342">
        <f>IF(ISBLANK(F60),"-",(F60/$D$50*$D$47*$B$68)*($B$57/$D$60))</f>
        <v>126.04117738108617</v>
      </c>
      <c r="H60" s="343">
        <f t="shared" ref="H60:H71" si="0">IF(ISBLANK(F60),"-",G60/$B$56)</f>
        <v>1.0503431448423848</v>
      </c>
      <c r="L60" s="92"/>
    </row>
    <row r="61" spans="1:12" s="9" customFormat="1" ht="26.25" customHeight="1" x14ac:dyDescent="0.4">
      <c r="A61" s="274" t="s">
        <v>147</v>
      </c>
      <c r="B61" s="214">
        <v>20</v>
      </c>
      <c r="C61" s="417"/>
      <c r="D61" s="421"/>
      <c r="E61" s="344">
        <v>2</v>
      </c>
      <c r="F61" s="216">
        <v>8824754</v>
      </c>
      <c r="G61" s="345">
        <f>IF(ISBLANK(F61),"-",(F61/$D$50*$D$47*$B$68)*($B$57/$D$60))</f>
        <v>125.9619297743985</v>
      </c>
      <c r="H61" s="346">
        <f t="shared" si="0"/>
        <v>1.0496827481199875</v>
      </c>
      <c r="L61" s="92"/>
    </row>
    <row r="62" spans="1:12" s="9" customFormat="1" ht="26.25" customHeight="1" x14ac:dyDescent="0.4">
      <c r="A62" s="274" t="s">
        <v>148</v>
      </c>
      <c r="B62" s="214">
        <v>1</v>
      </c>
      <c r="C62" s="417"/>
      <c r="D62" s="421"/>
      <c r="E62" s="344">
        <v>3</v>
      </c>
      <c r="F62" s="70">
        <v>8822002</v>
      </c>
      <c r="G62" s="345">
        <f>IF(ISBLANK(F62),"-",(F62/$D$50*$D$47*$B$68)*($B$57/$D$60))</f>
        <v>125.92264853995965</v>
      </c>
      <c r="H62" s="346">
        <f t="shared" si="0"/>
        <v>1.0493554044996638</v>
      </c>
      <c r="L62" s="92"/>
    </row>
    <row r="63" spans="1:12" ht="27" customHeight="1" x14ac:dyDescent="0.4">
      <c r="A63" s="274" t="s">
        <v>149</v>
      </c>
      <c r="B63" s="214">
        <v>1</v>
      </c>
      <c r="C63" s="418"/>
      <c r="D63" s="422"/>
      <c r="E63" s="347">
        <v>4</v>
      </c>
      <c r="F63" s="223"/>
      <c r="G63" s="345" t="str">
        <f>IF(ISBLANK(F63),"-",(F63/$D$50*$D$47*$B$68)*($B$57/$D$60))</f>
        <v>-</v>
      </c>
      <c r="H63" s="346" t="str">
        <f t="shared" si="0"/>
        <v>-</v>
      </c>
    </row>
    <row r="64" spans="1:12" ht="26.25" customHeight="1" x14ac:dyDescent="0.4">
      <c r="A64" s="274" t="s">
        <v>150</v>
      </c>
      <c r="B64" s="214">
        <v>1</v>
      </c>
      <c r="C64" s="416" t="s">
        <v>95</v>
      </c>
      <c r="D64" s="420">
        <v>153.19999999999999</v>
      </c>
      <c r="E64" s="127">
        <v>1</v>
      </c>
      <c r="F64" s="222">
        <v>8481974</v>
      </c>
      <c r="G64" s="348">
        <f>IF(ISBLANK(F64),"-",(F64/$D$50*$D$47*$B$68)*($B$57/$D$64))</f>
        <v>127.24118918735981</v>
      </c>
      <c r="H64" s="349">
        <f t="shared" si="0"/>
        <v>1.0603432432279984</v>
      </c>
    </row>
    <row r="65" spans="1:8" ht="26.25" customHeight="1" x14ac:dyDescent="0.4">
      <c r="A65" s="274" t="s">
        <v>151</v>
      </c>
      <c r="B65" s="214">
        <v>1</v>
      </c>
      <c r="C65" s="417"/>
      <c r="D65" s="421"/>
      <c r="E65" s="344">
        <v>2</v>
      </c>
      <c r="F65" s="216">
        <v>8483019</v>
      </c>
      <c r="G65" s="350">
        <f>IF(ISBLANK(F65),"-",(F65/$D$50*$D$47*$B$68)*($B$57/$D$64))</f>
        <v>127.25686561394409</v>
      </c>
      <c r="H65" s="351">
        <f t="shared" si="0"/>
        <v>1.0604738801162008</v>
      </c>
    </row>
    <row r="66" spans="1:8" ht="26.25" customHeight="1" x14ac:dyDescent="0.4">
      <c r="A66" s="274" t="s">
        <v>152</v>
      </c>
      <c r="B66" s="214">
        <v>1</v>
      </c>
      <c r="C66" s="417"/>
      <c r="D66" s="421"/>
      <c r="E66" s="344">
        <v>3</v>
      </c>
      <c r="F66" s="216">
        <v>8507830</v>
      </c>
      <c r="G66" s="350">
        <f>IF(ISBLANK(F66),"-",(F66/$D$50*$D$47*$B$68)*($B$57/$D$64))</f>
        <v>127.62906448474089</v>
      </c>
      <c r="H66" s="351">
        <f t="shared" si="0"/>
        <v>1.0635755373728408</v>
      </c>
    </row>
    <row r="67" spans="1:8" ht="27" customHeight="1" x14ac:dyDescent="0.4">
      <c r="A67" s="274" t="s">
        <v>153</v>
      </c>
      <c r="B67" s="214">
        <v>1</v>
      </c>
      <c r="C67" s="418"/>
      <c r="D67" s="422"/>
      <c r="E67" s="347">
        <v>4</v>
      </c>
      <c r="F67" s="223"/>
      <c r="G67" s="352" t="str">
        <f>IF(ISBLANK(F67),"-",(F67/$D$50*$D$47*$B$68)*($B$57/$D$64))</f>
        <v>-</v>
      </c>
      <c r="H67" s="353" t="str">
        <f t="shared" si="0"/>
        <v>-</v>
      </c>
    </row>
    <row r="68" spans="1:8" ht="26.25" customHeight="1" x14ac:dyDescent="0.4">
      <c r="A68" s="274" t="s">
        <v>99</v>
      </c>
      <c r="B68" s="354">
        <f>(B67/B66)*(B65/B64)*(B63/B62)*(B61/B60)*B59</f>
        <v>500</v>
      </c>
      <c r="C68" s="416" t="s">
        <v>100</v>
      </c>
      <c r="D68" s="420">
        <v>154.43</v>
      </c>
      <c r="E68" s="127">
        <v>1</v>
      </c>
      <c r="F68" s="222">
        <v>8473788</v>
      </c>
      <c r="G68" s="348">
        <f>IF(ISBLANK(F68),"-",(F68/$D$50*$D$47*$B$68)*($B$57/$D$68))</f>
        <v>126.10591882064637</v>
      </c>
      <c r="H68" s="346">
        <f t="shared" si="0"/>
        <v>1.0508826568387197</v>
      </c>
    </row>
    <row r="69" spans="1:8" ht="27" customHeight="1" x14ac:dyDescent="0.4">
      <c r="A69" s="340" t="s">
        <v>101</v>
      </c>
      <c r="B69" s="355">
        <f>(D47*B68)/B56*B57</f>
        <v>152.82537499999998</v>
      </c>
      <c r="C69" s="417"/>
      <c r="D69" s="421"/>
      <c r="E69" s="344">
        <v>2</v>
      </c>
      <c r="F69" s="216">
        <v>8453040</v>
      </c>
      <c r="G69" s="350">
        <f>IF(ISBLANK(F69),"-",(F69/$D$50*$D$47*$B$68)*($B$57/$D$68))</f>
        <v>125.79714951892549</v>
      </c>
      <c r="H69" s="346">
        <f t="shared" si="0"/>
        <v>1.0483095793243791</v>
      </c>
    </row>
    <row r="70" spans="1:8" ht="26.25" customHeight="1" x14ac:dyDescent="0.4">
      <c r="A70" s="410" t="s">
        <v>75</v>
      </c>
      <c r="B70" s="411"/>
      <c r="C70" s="417"/>
      <c r="D70" s="421"/>
      <c r="E70" s="344">
        <v>3</v>
      </c>
      <c r="F70" s="216">
        <v>8478895</v>
      </c>
      <c r="G70" s="350">
        <f>IF(ISBLANK(F70),"-",(F70/$D$50*$D$47*$B$68)*($B$57/$D$68))</f>
        <v>126.18192059546267</v>
      </c>
      <c r="H70" s="346">
        <f t="shared" si="0"/>
        <v>1.051516004962189</v>
      </c>
    </row>
    <row r="71" spans="1:8" ht="27" customHeight="1" x14ac:dyDescent="0.4">
      <c r="A71" s="412"/>
      <c r="B71" s="413"/>
      <c r="C71" s="419"/>
      <c r="D71" s="422"/>
      <c r="E71" s="347">
        <v>4</v>
      </c>
      <c r="F71" s="223"/>
      <c r="G71" s="352" t="str">
        <f>IF(ISBLANK(F71),"-",(F71/$D$50*$D$47*$B$68)*($B$57/$D$68))</f>
        <v>-</v>
      </c>
      <c r="H71" s="356" t="str">
        <f t="shared" si="0"/>
        <v>-</v>
      </c>
    </row>
    <row r="72" spans="1:8" ht="26.25" customHeight="1" x14ac:dyDescent="0.4">
      <c r="A72" s="245"/>
      <c r="B72" s="245"/>
      <c r="C72" s="245"/>
      <c r="D72" s="245"/>
      <c r="E72" s="245"/>
      <c r="F72" s="357" t="s">
        <v>68</v>
      </c>
      <c r="G72" s="74">
        <f>AVERAGE(G60:G71)</f>
        <v>126.45976265739152</v>
      </c>
      <c r="H72" s="224">
        <f>AVERAGE(H60:H71)</f>
        <v>1.0538313554782626</v>
      </c>
    </row>
    <row r="73" spans="1:8" ht="26.25" customHeight="1" x14ac:dyDescent="0.4">
      <c r="C73" s="245"/>
      <c r="D73" s="245"/>
      <c r="E73" s="245"/>
      <c r="F73" s="295" t="s">
        <v>81</v>
      </c>
      <c r="G73" s="225">
        <f>STDEV(G60:G71)/G72</f>
        <v>5.5679287458771948E-3</v>
      </c>
      <c r="H73" s="225">
        <f>STDEV(H60:H71)/H72</f>
        <v>5.5679287458772157E-3</v>
      </c>
    </row>
    <row r="74" spans="1:8" ht="27" customHeight="1" x14ac:dyDescent="0.4">
      <c r="A74" s="245"/>
      <c r="B74" s="245"/>
      <c r="C74" s="245"/>
      <c r="D74" s="245"/>
      <c r="E74" s="95"/>
      <c r="F74" s="296" t="s">
        <v>20</v>
      </c>
      <c r="G74" s="226">
        <f>COUNT(G60:G71)</f>
        <v>9</v>
      </c>
      <c r="H74" s="226">
        <f>COUNT(H60:H71)</f>
        <v>9</v>
      </c>
    </row>
    <row r="76" spans="1:8" ht="26.25" customHeight="1" x14ac:dyDescent="0.4">
      <c r="A76" s="177" t="s">
        <v>102</v>
      </c>
      <c r="B76" s="177" t="s">
        <v>103</v>
      </c>
      <c r="C76" s="414" t="str">
        <f>B20</f>
        <v>Artemether &amp; Lumefantrine</v>
      </c>
      <c r="D76" s="414"/>
      <c r="E76" s="83" t="s">
        <v>104</v>
      </c>
      <c r="F76" s="83"/>
      <c r="G76" s="238">
        <f>H72</f>
        <v>1.0538313554782626</v>
      </c>
      <c r="H76" s="245"/>
    </row>
    <row r="77" spans="1:8" ht="18.75" x14ac:dyDescent="0.3">
      <c r="A77" s="87" t="s">
        <v>105</v>
      </c>
      <c r="B77" s="87" t="s">
        <v>106</v>
      </c>
    </row>
    <row r="78" spans="1:8" ht="18.75" x14ac:dyDescent="0.3">
      <c r="A78" s="87"/>
      <c r="B78" s="87"/>
    </row>
    <row r="79" spans="1:8" ht="26.25" customHeight="1" x14ac:dyDescent="0.4">
      <c r="A79" s="177" t="s">
        <v>4</v>
      </c>
      <c r="B79" s="396" t="str">
        <f>B26</f>
        <v xml:space="preserve">Lumefantrine </v>
      </c>
      <c r="C79" s="396"/>
    </row>
    <row r="80" spans="1:8" ht="26.25" customHeight="1" x14ac:dyDescent="0.4">
      <c r="A80" s="177" t="s">
        <v>45</v>
      </c>
      <c r="B80" s="396" t="str">
        <f>B27</f>
        <v>WS/14/046</v>
      </c>
      <c r="C80" s="396"/>
    </row>
    <row r="81" spans="1:12" ht="27" customHeight="1" x14ac:dyDescent="0.4">
      <c r="A81" s="177" t="s">
        <v>6</v>
      </c>
      <c r="B81" s="211">
        <f>B28</f>
        <v>100.2</v>
      </c>
    </row>
    <row r="82" spans="1:12" s="9" customFormat="1" ht="27" customHeight="1" x14ac:dyDescent="0.4">
      <c r="A82" s="177" t="s">
        <v>46</v>
      </c>
      <c r="B82" s="211">
        <v>0</v>
      </c>
      <c r="C82" s="407" t="s">
        <v>47</v>
      </c>
      <c r="D82" s="408"/>
      <c r="E82" s="408"/>
      <c r="F82" s="408"/>
      <c r="G82" s="409"/>
      <c r="I82" s="92"/>
      <c r="J82" s="92"/>
      <c r="K82" s="92"/>
      <c r="L82" s="92"/>
    </row>
    <row r="83" spans="1:12" s="9" customFormat="1" ht="19.5" customHeight="1" x14ac:dyDescent="0.3">
      <c r="A83" s="177" t="s">
        <v>48</v>
      </c>
      <c r="B83" s="245">
        <f>B81-B82</f>
        <v>100.2</v>
      </c>
      <c r="C83" s="316"/>
      <c r="D83" s="316"/>
      <c r="E83" s="316"/>
      <c r="F83" s="316"/>
      <c r="G83" s="317"/>
      <c r="I83" s="92"/>
      <c r="J83" s="92"/>
      <c r="K83" s="92"/>
      <c r="L83" s="92"/>
    </row>
    <row r="84" spans="1:12" s="9" customFormat="1" ht="27" customHeight="1" x14ac:dyDescent="0.4">
      <c r="A84" s="177" t="s">
        <v>49</v>
      </c>
      <c r="B84" s="212">
        <v>154.46</v>
      </c>
      <c r="C84" s="393" t="s">
        <v>107</v>
      </c>
      <c r="D84" s="394"/>
      <c r="E84" s="394"/>
      <c r="F84" s="394"/>
      <c r="G84" s="394"/>
      <c r="H84" s="395"/>
      <c r="I84" s="92"/>
      <c r="J84" s="92"/>
      <c r="K84" s="92"/>
      <c r="L84" s="92"/>
    </row>
    <row r="85" spans="1:12" s="9" customFormat="1" ht="27" customHeight="1" x14ac:dyDescent="0.4">
      <c r="A85" s="177" t="s">
        <v>51</v>
      </c>
      <c r="B85" s="212">
        <v>165.23</v>
      </c>
      <c r="C85" s="393" t="s">
        <v>108</v>
      </c>
      <c r="D85" s="394"/>
      <c r="E85" s="394"/>
      <c r="F85" s="394"/>
      <c r="G85" s="394"/>
      <c r="H85" s="395"/>
      <c r="I85" s="92"/>
      <c r="J85" s="92"/>
      <c r="K85" s="92"/>
      <c r="L85" s="92"/>
    </row>
    <row r="86" spans="1:12" s="9" customFormat="1" ht="18.75" x14ac:dyDescent="0.3">
      <c r="A86" s="177"/>
      <c r="B86" s="95"/>
      <c r="C86" s="98"/>
      <c r="D86" s="98"/>
      <c r="E86" s="98"/>
      <c r="F86" s="98"/>
      <c r="G86" s="98"/>
      <c r="H86" s="98"/>
      <c r="I86" s="92"/>
      <c r="J86" s="92"/>
      <c r="K86" s="92"/>
      <c r="L86" s="92"/>
    </row>
    <row r="87" spans="1:12" s="9" customFormat="1" ht="18.75" x14ac:dyDescent="0.3">
      <c r="A87" s="177" t="s">
        <v>53</v>
      </c>
      <c r="B87" s="99">
        <f>B84/B85</f>
        <v>0.93481813230042976</v>
      </c>
      <c r="C87" s="83" t="s">
        <v>54</v>
      </c>
      <c r="D87" s="83"/>
      <c r="E87" s="83"/>
      <c r="F87" s="83"/>
      <c r="G87" s="83"/>
      <c r="I87" s="92"/>
      <c r="J87" s="92"/>
      <c r="K87" s="92"/>
      <c r="L87" s="92"/>
    </row>
    <row r="88" spans="1:12" ht="19.5" customHeight="1" x14ac:dyDescent="0.3">
      <c r="A88" s="87"/>
      <c r="B88" s="87"/>
    </row>
    <row r="89" spans="1:12" ht="27" customHeight="1" x14ac:dyDescent="0.4">
      <c r="A89" s="273" t="s">
        <v>55</v>
      </c>
      <c r="B89" s="213">
        <v>50</v>
      </c>
      <c r="D89" s="243" t="s">
        <v>56</v>
      </c>
      <c r="E89" s="247"/>
      <c r="F89" s="399" t="s">
        <v>57</v>
      </c>
      <c r="G89" s="400"/>
    </row>
    <row r="90" spans="1:12" ht="27" customHeight="1" x14ac:dyDescent="0.4">
      <c r="A90" s="274" t="s">
        <v>138</v>
      </c>
      <c r="B90" s="214">
        <v>5</v>
      </c>
      <c r="C90" s="246" t="s">
        <v>59</v>
      </c>
      <c r="D90" s="104" t="s">
        <v>60</v>
      </c>
      <c r="E90" s="156" t="s">
        <v>61</v>
      </c>
      <c r="F90" s="104" t="s">
        <v>60</v>
      </c>
      <c r="G90" s="105" t="s">
        <v>61</v>
      </c>
      <c r="I90" s="66" t="s">
        <v>62</v>
      </c>
    </row>
    <row r="91" spans="1:12" ht="26.25" customHeight="1" x14ac:dyDescent="0.4">
      <c r="A91" s="274" t="s">
        <v>139</v>
      </c>
      <c r="B91" s="214">
        <v>100</v>
      </c>
      <c r="C91" s="275">
        <v>1</v>
      </c>
      <c r="D91" s="215">
        <v>0.77449999999999997</v>
      </c>
      <c r="E91" s="276">
        <f>IF(ISBLANK(D91),"-",$D$101/$D$98*D91)</f>
        <v>0.72957326429925717</v>
      </c>
      <c r="F91" s="215">
        <v>0.67220000000000002</v>
      </c>
      <c r="G91" s="277">
        <f>IF(ISBLANK(F91),"-",$D$101/$F$98*F91)</f>
        <v>0.74527225771070627</v>
      </c>
      <c r="I91" s="322"/>
    </row>
    <row r="92" spans="1:12" ht="26.25" customHeight="1" x14ac:dyDescent="0.4">
      <c r="A92" s="274" t="s">
        <v>140</v>
      </c>
      <c r="B92" s="214">
        <v>1</v>
      </c>
      <c r="C92" s="245">
        <v>2</v>
      </c>
      <c r="D92" s="216">
        <v>0.78859999999999997</v>
      </c>
      <c r="E92" s="278">
        <f>IF(ISBLANK(D92),"-",$D$101/$D$98*D92)</f>
        <v>0.74285535987914031</v>
      </c>
      <c r="F92" s="216">
        <v>0.6734</v>
      </c>
      <c r="G92" s="279">
        <f>IF(ISBLANK(F92),"-",$D$101/$F$98*F92)</f>
        <v>0.74660270506157334</v>
      </c>
      <c r="I92" s="428">
        <f>ABS((F96/D96*D95)-F95)/D95</f>
        <v>9.3518226586195696E-3</v>
      </c>
    </row>
    <row r="93" spans="1:12" ht="26.25" customHeight="1" x14ac:dyDescent="0.4">
      <c r="A93" s="274" t="s">
        <v>141</v>
      </c>
      <c r="B93" s="214">
        <v>1</v>
      </c>
      <c r="C93" s="245">
        <v>3</v>
      </c>
      <c r="D93" s="216">
        <v>0.78769999999999996</v>
      </c>
      <c r="E93" s="278">
        <f>IF(ISBLANK(D93),"-",$D$101/$D$98*D93)</f>
        <v>0.74200756654425415</v>
      </c>
      <c r="F93" s="216">
        <v>0.67369999999999997</v>
      </c>
      <c r="G93" s="279">
        <f>IF(ISBLANK(F93),"-",$D$101/$F$98*F93)</f>
        <v>0.74693531689929005</v>
      </c>
      <c r="I93" s="428"/>
    </row>
    <row r="94" spans="1:12" ht="27" customHeight="1" x14ac:dyDescent="0.4">
      <c r="A94" s="274" t="s">
        <v>142</v>
      </c>
      <c r="B94" s="214">
        <v>1</v>
      </c>
      <c r="C94" s="280">
        <v>4</v>
      </c>
      <c r="D94" s="217"/>
      <c r="E94" s="281" t="str">
        <f>IF(ISBLANK(D94),"-",$D$101/$D$98*D94)</f>
        <v>-</v>
      </c>
      <c r="F94" s="227"/>
      <c r="G94" s="282" t="str">
        <f>IF(ISBLANK(F94),"-",$D$101/$F$98*F94)</f>
        <v>-</v>
      </c>
      <c r="I94" s="328"/>
    </row>
    <row r="95" spans="1:12" ht="27" customHeight="1" x14ac:dyDescent="0.4">
      <c r="A95" s="274" t="s">
        <v>143</v>
      </c>
      <c r="B95" s="214">
        <v>1</v>
      </c>
      <c r="C95" s="177" t="s">
        <v>68</v>
      </c>
      <c r="D95" s="367">
        <f>AVERAGE(D91:D94)</f>
        <v>0.78359999999999996</v>
      </c>
      <c r="E95" s="136">
        <f>AVERAGE(E91:E94)</f>
        <v>0.73814539690755054</v>
      </c>
      <c r="F95" s="368">
        <f>AVERAGE(F91:F94)</f>
        <v>0.67310000000000014</v>
      </c>
      <c r="G95" s="71">
        <f>AVERAGE(G91:G94)</f>
        <v>0.74627009322385651</v>
      </c>
    </row>
    <row r="96" spans="1:12" ht="26.25" customHeight="1" x14ac:dyDescent="0.4">
      <c r="A96" s="274" t="s">
        <v>144</v>
      </c>
      <c r="B96" s="211">
        <v>1</v>
      </c>
      <c r="C96" s="283" t="s">
        <v>109</v>
      </c>
      <c r="D96" s="251">
        <v>27.2</v>
      </c>
      <c r="E96" s="83"/>
      <c r="F96" s="219">
        <v>23.11</v>
      </c>
    </row>
    <row r="97" spans="1:10" ht="26.25" customHeight="1" x14ac:dyDescent="0.4">
      <c r="A97" s="274" t="s">
        <v>145</v>
      </c>
      <c r="B97" s="211">
        <v>1</v>
      </c>
      <c r="C97" s="284" t="s">
        <v>110</v>
      </c>
      <c r="D97" s="285">
        <f>D96*$B$87</f>
        <v>25.427053198571688</v>
      </c>
      <c r="E97" s="245"/>
      <c r="F97" s="286">
        <f>F96*$B$87</f>
        <v>21.603647037462931</v>
      </c>
    </row>
    <row r="98" spans="1:10" ht="19.5" customHeight="1" x14ac:dyDescent="0.3">
      <c r="A98" s="274" t="s">
        <v>73</v>
      </c>
      <c r="B98" s="245">
        <f>(B97/B96)*(B95/B94)*(B93/B92)*(B91/B90)*B89</f>
        <v>1000</v>
      </c>
      <c r="C98" s="284" t="s">
        <v>111</v>
      </c>
      <c r="D98" s="287">
        <f>D97*$B$83/100</f>
        <v>25.477907304968831</v>
      </c>
      <c r="E98" s="95"/>
      <c r="F98" s="288">
        <f>F97*$B$83/100</f>
        <v>21.646854331537856</v>
      </c>
    </row>
    <row r="99" spans="1:10" ht="19.5" customHeight="1" x14ac:dyDescent="0.3">
      <c r="A99" s="401" t="s">
        <v>75</v>
      </c>
      <c r="B99" s="402"/>
      <c r="C99" s="284" t="s">
        <v>112</v>
      </c>
      <c r="D99" s="358">
        <f>D98/$B$98</f>
        <v>2.5477907304968829E-2</v>
      </c>
      <c r="E99" s="95"/>
      <c r="F99" s="334">
        <f>F98/$B$98</f>
        <v>2.1646854331537856E-2</v>
      </c>
      <c r="H99" s="270"/>
    </row>
    <row r="100" spans="1:10" ht="19.5" customHeight="1" x14ac:dyDescent="0.3">
      <c r="A100" s="403"/>
      <c r="B100" s="404"/>
      <c r="C100" s="284" t="s">
        <v>77</v>
      </c>
      <c r="D100" s="359">
        <f>$B$56/$B$116</f>
        <v>2.4E-2</v>
      </c>
      <c r="F100" s="290"/>
      <c r="G100" s="291"/>
      <c r="H100" s="270"/>
    </row>
    <row r="101" spans="1:10" ht="18.75" x14ac:dyDescent="0.3">
      <c r="C101" s="284" t="s">
        <v>78</v>
      </c>
      <c r="D101" s="285">
        <f>D100*$B$98</f>
        <v>24</v>
      </c>
      <c r="F101" s="290"/>
      <c r="H101" s="270"/>
    </row>
    <row r="102" spans="1:10" ht="19.5" customHeight="1" x14ac:dyDescent="0.3">
      <c r="C102" s="292" t="s">
        <v>79</v>
      </c>
      <c r="D102" s="293">
        <f>D101/B34</f>
        <v>24</v>
      </c>
      <c r="F102" s="146"/>
      <c r="H102" s="270"/>
      <c r="J102" s="137"/>
    </row>
    <row r="103" spans="1:10" ht="18.75" x14ac:dyDescent="0.3">
      <c r="C103" s="294" t="s">
        <v>113</v>
      </c>
      <c r="D103" s="202">
        <f>AVERAGE(E91:E94,G91:G94)</f>
        <v>0.74220774506570353</v>
      </c>
      <c r="F103" s="146"/>
      <c r="G103" s="291"/>
      <c r="H103" s="270"/>
      <c r="J103" s="360"/>
    </row>
    <row r="104" spans="1:10" ht="18.75" x14ac:dyDescent="0.3">
      <c r="C104" s="295" t="s">
        <v>81</v>
      </c>
      <c r="D104" s="138">
        <f>STDEV(E91:E94,G91:G94)/D103</f>
        <v>8.7555087101878499E-3</v>
      </c>
      <c r="F104" s="146"/>
      <c r="H104" s="270"/>
      <c r="J104" s="360"/>
    </row>
    <row r="105" spans="1:10" ht="19.5" customHeight="1" x14ac:dyDescent="0.3">
      <c r="C105" s="296" t="s">
        <v>20</v>
      </c>
      <c r="D105" s="140">
        <f>COUNT(E91:E94,G91:G94)</f>
        <v>6</v>
      </c>
      <c r="F105" s="146"/>
      <c r="H105" s="270"/>
      <c r="J105" s="360"/>
    </row>
    <row r="106" spans="1:10" ht="19.5" customHeight="1" x14ac:dyDescent="0.3">
      <c r="A106" s="81"/>
      <c r="B106" s="81"/>
      <c r="C106" s="81"/>
      <c r="D106" s="81"/>
      <c r="E106" s="81"/>
    </row>
    <row r="107" spans="1:10" ht="26.25" customHeight="1" x14ac:dyDescent="0.4">
      <c r="A107" s="273" t="s">
        <v>114</v>
      </c>
      <c r="B107" s="213">
        <v>1000</v>
      </c>
      <c r="C107" s="243" t="s">
        <v>115</v>
      </c>
      <c r="D107" s="142" t="s">
        <v>60</v>
      </c>
      <c r="E107" s="72" t="s">
        <v>116</v>
      </c>
      <c r="F107" s="144" t="s">
        <v>117</v>
      </c>
    </row>
    <row r="108" spans="1:10" ht="26.25" customHeight="1" x14ac:dyDescent="0.4">
      <c r="A108" s="274" t="s">
        <v>146</v>
      </c>
      <c r="B108" s="214">
        <v>4</v>
      </c>
      <c r="C108" s="297">
        <v>1</v>
      </c>
      <c r="D108" s="252">
        <v>0.74729999999999996</v>
      </c>
      <c r="E108" s="361">
        <f t="shared" ref="E108:E113" si="1">IF(ISBLANK(D108),"-",D108/$D$103*$D$100*$B$116)</f>
        <v>120.82331476083084</v>
      </c>
      <c r="F108" s="299">
        <f t="shared" ref="F108:F113" si="2">IF(ISBLANK(D108), "-", E108/$B$56)</f>
        <v>1.0068609563402571</v>
      </c>
    </row>
    <row r="109" spans="1:10" ht="26.25" customHeight="1" x14ac:dyDescent="0.4">
      <c r="A109" s="274" t="s">
        <v>147</v>
      </c>
      <c r="B109" s="214">
        <v>20</v>
      </c>
      <c r="C109" s="297">
        <v>2</v>
      </c>
      <c r="D109" s="252">
        <v>0.72019999999999995</v>
      </c>
      <c r="E109" s="362">
        <f t="shared" si="1"/>
        <v>116.44179217282266</v>
      </c>
      <c r="F109" s="301">
        <f t="shared" si="2"/>
        <v>0.97034826810685548</v>
      </c>
    </row>
    <row r="110" spans="1:10" ht="26.25" customHeight="1" x14ac:dyDescent="0.4">
      <c r="A110" s="274" t="s">
        <v>148</v>
      </c>
      <c r="B110" s="214">
        <v>1</v>
      </c>
      <c r="C110" s="297">
        <v>3</v>
      </c>
      <c r="D110" s="252">
        <v>0.6915</v>
      </c>
      <c r="E110" s="362">
        <f t="shared" si="1"/>
        <v>111.80158190434167</v>
      </c>
      <c r="F110" s="301">
        <f t="shared" si="2"/>
        <v>0.9316798492028473</v>
      </c>
    </row>
    <row r="111" spans="1:10" ht="26.25" customHeight="1" x14ac:dyDescent="0.4">
      <c r="A111" s="274" t="s">
        <v>149</v>
      </c>
      <c r="B111" s="214">
        <v>1</v>
      </c>
      <c r="C111" s="297">
        <v>4</v>
      </c>
      <c r="D111" s="252">
        <v>0.67030000000000001</v>
      </c>
      <c r="E111" s="362">
        <f t="shared" si="1"/>
        <v>108.37397013807698</v>
      </c>
      <c r="F111" s="301">
        <f t="shared" si="2"/>
        <v>0.90311641781730823</v>
      </c>
    </row>
    <row r="112" spans="1:10" ht="26.25" customHeight="1" x14ac:dyDescent="0.4">
      <c r="A112" s="274" t="s">
        <v>150</v>
      </c>
      <c r="B112" s="214">
        <v>1</v>
      </c>
      <c r="C112" s="297">
        <v>5</v>
      </c>
      <c r="D112" s="252">
        <v>0.71350000000000002</v>
      </c>
      <c r="E112" s="362">
        <f t="shared" si="1"/>
        <v>115.35853751084278</v>
      </c>
      <c r="F112" s="301">
        <f t="shared" si="2"/>
        <v>0.96132114592368978</v>
      </c>
    </row>
    <row r="113" spans="1:10" ht="26.25" customHeight="1" x14ac:dyDescent="0.4">
      <c r="A113" s="274" t="s">
        <v>151</v>
      </c>
      <c r="B113" s="214">
        <v>1</v>
      </c>
      <c r="C113" s="302">
        <v>6</v>
      </c>
      <c r="D113" s="253">
        <v>0.70050000000000001</v>
      </c>
      <c r="E113" s="363">
        <f t="shared" si="1"/>
        <v>113.25670010700122</v>
      </c>
      <c r="F113" s="304">
        <f t="shared" si="2"/>
        <v>0.94380583422501019</v>
      </c>
    </row>
    <row r="114" spans="1:10" ht="26.25" customHeight="1" x14ac:dyDescent="0.4">
      <c r="A114" s="274" t="s">
        <v>152</v>
      </c>
      <c r="B114" s="214">
        <v>1</v>
      </c>
      <c r="C114" s="297"/>
      <c r="D114" s="245"/>
      <c r="E114" s="83"/>
      <c r="F114" s="305"/>
    </row>
    <row r="115" spans="1:10" ht="26.25" customHeight="1" x14ac:dyDescent="0.4">
      <c r="A115" s="274" t="s">
        <v>153</v>
      </c>
      <c r="B115" s="214">
        <v>1</v>
      </c>
      <c r="C115" s="297"/>
      <c r="D115" s="306" t="s">
        <v>68</v>
      </c>
      <c r="E115" s="75">
        <f>AVERAGE(E108:E113)</f>
        <v>114.34264943231938</v>
      </c>
      <c r="F115" s="235">
        <f>AVERAGE(F108:F113)</f>
        <v>0.95285541193599466</v>
      </c>
    </row>
    <row r="116" spans="1:10" ht="27" customHeight="1" x14ac:dyDescent="0.4">
      <c r="A116" s="274" t="s">
        <v>99</v>
      </c>
      <c r="B116" s="186">
        <f>(B115/B114)*(B113/B112)*(B111/B110)*(B109/B108)*B107</f>
        <v>5000</v>
      </c>
      <c r="C116" s="307"/>
      <c r="D116" s="177" t="s">
        <v>81</v>
      </c>
      <c r="E116" s="236">
        <f>STDEV(E108:E113)/E115</f>
        <v>3.7248410408292472E-2</v>
      </c>
      <c r="F116" s="236">
        <f>STDEV(F108:F113)/F115</f>
        <v>3.7248410408292493E-2</v>
      </c>
      <c r="I116" s="83"/>
    </row>
    <row r="117" spans="1:10" ht="27" customHeight="1" x14ac:dyDescent="0.4">
      <c r="A117" s="401" t="s">
        <v>75</v>
      </c>
      <c r="B117" s="405"/>
      <c r="C117" s="309"/>
      <c r="D117" s="311" t="s">
        <v>20</v>
      </c>
      <c r="E117" s="237">
        <f>COUNT(E108:E113)</f>
        <v>6</v>
      </c>
      <c r="F117" s="237">
        <f>COUNT(F108:F113)</f>
        <v>6</v>
      </c>
      <c r="I117" s="83"/>
      <c r="J117" s="360"/>
    </row>
    <row r="118" spans="1:10" ht="19.5" customHeight="1" x14ac:dyDescent="0.3">
      <c r="A118" s="403"/>
      <c r="B118" s="406"/>
      <c r="C118" s="83"/>
      <c r="D118" s="83"/>
      <c r="E118" s="83"/>
      <c r="F118" s="245"/>
      <c r="G118" s="83"/>
      <c r="H118" s="83"/>
      <c r="I118" s="83"/>
    </row>
    <row r="119" spans="1:10" ht="18.75" x14ac:dyDescent="0.3">
      <c r="A119" s="73"/>
      <c r="B119" s="98"/>
      <c r="C119" s="83"/>
      <c r="D119" s="83"/>
      <c r="E119" s="83"/>
      <c r="F119" s="245"/>
      <c r="G119" s="83"/>
      <c r="H119" s="83"/>
      <c r="I119" s="83"/>
    </row>
    <row r="120" spans="1:10" ht="26.25" customHeight="1" x14ac:dyDescent="0.4">
      <c r="A120" s="177" t="s">
        <v>102</v>
      </c>
      <c r="B120" s="177" t="s">
        <v>119</v>
      </c>
      <c r="C120" s="414" t="str">
        <f>B20</f>
        <v>Artemether &amp; Lumefantrine</v>
      </c>
      <c r="D120" s="414"/>
      <c r="E120" s="83" t="s">
        <v>120</v>
      </c>
      <c r="F120" s="83"/>
      <c r="G120" s="238">
        <f>F115</f>
        <v>0.95285541193599466</v>
      </c>
      <c r="H120" s="83"/>
      <c r="I120" s="83"/>
    </row>
    <row r="121" spans="1:10" ht="19.5" customHeight="1" x14ac:dyDescent="0.3">
      <c r="A121" s="244"/>
      <c r="B121" s="244"/>
      <c r="C121" s="364"/>
      <c r="D121" s="364"/>
      <c r="E121" s="364"/>
      <c r="F121" s="364"/>
      <c r="G121" s="364"/>
      <c r="H121" s="364"/>
    </row>
    <row r="122" spans="1:10" ht="18.75" x14ac:dyDescent="0.3">
      <c r="B122" s="415" t="s">
        <v>23</v>
      </c>
      <c r="C122" s="415"/>
      <c r="E122" s="246" t="s">
        <v>24</v>
      </c>
      <c r="F122" s="246"/>
      <c r="G122" s="415" t="s">
        <v>25</v>
      </c>
      <c r="H122" s="415"/>
    </row>
    <row r="123" spans="1:10" ht="49.5" customHeight="1" x14ac:dyDescent="0.3">
      <c r="A123" s="177" t="s">
        <v>26</v>
      </c>
      <c r="B123" s="365"/>
      <c r="C123" s="365"/>
      <c r="E123" s="365"/>
      <c r="F123" s="83"/>
      <c r="G123" s="365"/>
      <c r="H123" s="365"/>
    </row>
    <row r="124" spans="1:10" ht="43.5" customHeight="1" x14ac:dyDescent="0.3">
      <c r="A124" s="177" t="s">
        <v>27</v>
      </c>
      <c r="B124" s="173"/>
      <c r="C124" s="173"/>
      <c r="E124" s="173"/>
      <c r="F124" s="83"/>
      <c r="G124" s="173"/>
      <c r="H124" s="173"/>
    </row>
    <row r="125" spans="1:10" ht="18.75" x14ac:dyDescent="0.3">
      <c r="A125" s="245"/>
      <c r="B125" s="245"/>
      <c r="C125" s="245"/>
      <c r="D125" s="245"/>
      <c r="E125" s="245"/>
      <c r="F125" s="95"/>
      <c r="G125" s="245"/>
      <c r="H125" s="245"/>
      <c r="I125" s="83"/>
    </row>
    <row r="126" spans="1:10" ht="18.75" x14ac:dyDescent="0.3">
      <c r="A126" s="245"/>
      <c r="B126" s="245"/>
      <c r="C126" s="245"/>
      <c r="D126" s="245"/>
      <c r="E126" s="245"/>
      <c r="F126" s="95"/>
      <c r="G126" s="245"/>
      <c r="H126" s="245"/>
      <c r="I126" s="83"/>
    </row>
    <row r="127" spans="1:10" ht="18.75" x14ac:dyDescent="0.3">
      <c r="A127" s="245"/>
      <c r="B127" s="245"/>
      <c r="C127" s="245"/>
      <c r="D127" s="245"/>
      <c r="E127" s="245"/>
      <c r="F127" s="95"/>
      <c r="G127" s="245"/>
      <c r="H127" s="245"/>
      <c r="I127" s="83"/>
    </row>
    <row r="128" spans="1:10" ht="18.75" x14ac:dyDescent="0.3">
      <c r="A128" s="245"/>
      <c r="B128" s="245"/>
      <c r="C128" s="245"/>
      <c r="D128" s="245"/>
      <c r="E128" s="245"/>
      <c r="F128" s="95"/>
      <c r="G128" s="245"/>
      <c r="H128" s="245"/>
      <c r="I128" s="83"/>
    </row>
    <row r="129" spans="1:9" ht="18.75" x14ac:dyDescent="0.3">
      <c r="A129" s="245"/>
      <c r="B129" s="245"/>
      <c r="C129" s="245"/>
      <c r="D129" s="245"/>
      <c r="E129" s="245"/>
      <c r="F129" s="95"/>
      <c r="G129" s="245"/>
      <c r="H129" s="245"/>
      <c r="I129" s="83"/>
    </row>
    <row r="130" spans="1:9" ht="18.75" x14ac:dyDescent="0.3">
      <c r="A130" s="245"/>
      <c r="B130" s="245"/>
      <c r="C130" s="245"/>
      <c r="D130" s="245"/>
      <c r="E130" s="245"/>
      <c r="F130" s="95"/>
      <c r="G130" s="245"/>
      <c r="H130" s="245"/>
      <c r="I130" s="83"/>
    </row>
    <row r="131" spans="1:9" ht="18.75" x14ac:dyDescent="0.3">
      <c r="A131" s="245"/>
      <c r="B131" s="245"/>
      <c r="C131" s="245"/>
      <c r="D131" s="245"/>
      <c r="E131" s="245"/>
      <c r="F131" s="95"/>
      <c r="G131" s="245"/>
      <c r="H131" s="245"/>
      <c r="I131" s="83"/>
    </row>
    <row r="132" spans="1:9" ht="18.75" x14ac:dyDescent="0.3">
      <c r="A132" s="245"/>
      <c r="B132" s="245"/>
      <c r="C132" s="245"/>
      <c r="D132" s="245"/>
      <c r="E132" s="245"/>
      <c r="F132" s="95"/>
      <c r="G132" s="245"/>
      <c r="H132" s="245"/>
      <c r="I132" s="83"/>
    </row>
    <row r="133" spans="1:9" ht="18.75" x14ac:dyDescent="0.3">
      <c r="A133" s="245"/>
      <c r="B133" s="245"/>
      <c r="C133" s="245"/>
      <c r="D133" s="245"/>
      <c r="E133" s="245"/>
      <c r="F133" s="95"/>
      <c r="G133" s="245"/>
      <c r="H133" s="245"/>
      <c r="I133" s="83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ARTEMETHER </vt:lpstr>
      <vt:lpstr>LUMEFANTRINE</vt:lpstr>
      <vt:lpstr>'ARTEMETHER '!Print_Area</vt:lpstr>
      <vt:lpstr>LUMEFANTRINE!Print_Area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2015-12-22T12:54:31Z</cp:lastPrinted>
  <dcterms:created xsi:type="dcterms:W3CDTF">2005-07-05T10:19:27Z</dcterms:created>
  <dcterms:modified xsi:type="dcterms:W3CDTF">2015-12-23T10:08:55Z</dcterms:modified>
  <cp:category/>
</cp:coreProperties>
</file>