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5" r:id="rId3"/>
    <sheet name="LUMEFANTRINE" sheetId="4" r:id="rId4"/>
  </sheets>
  <externalReferences>
    <externalReference r:id="rId5"/>
  </externalReferences>
  <definedNames>
    <definedName name="_xlnm.Print_Area" localSheetId="2">'ARTEMETHER '!$A$1:$I$142</definedName>
    <definedName name="_xlnm.Print_Area" localSheetId="0">SST!$A$1:$E$75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H74" i="5" l="1"/>
  <c r="H72" i="5"/>
  <c r="H73" i="5"/>
  <c r="B67" i="1"/>
  <c r="E65" i="1"/>
  <c r="D65" i="1"/>
  <c r="C65" i="1"/>
  <c r="B65" i="1"/>
  <c r="B66" i="1" s="1"/>
  <c r="B55" i="1"/>
  <c r="B56" i="1" s="1"/>
  <c r="B54" i="1"/>
  <c r="B53" i="1"/>
  <c r="D29" i="2" l="1"/>
  <c r="B12" i="1"/>
  <c r="B11" i="1"/>
  <c r="B23" i="4" l="1"/>
  <c r="B22" i="4"/>
  <c r="C19" i="2"/>
  <c r="C18" i="2"/>
  <c r="B33" i="1"/>
  <c r="E22" i="1" l="1"/>
  <c r="D22" i="1"/>
  <c r="C22" i="1"/>
  <c r="B22" i="1"/>
  <c r="F95" i="4"/>
  <c r="D95" i="4"/>
  <c r="G94" i="4"/>
  <c r="E94" i="4"/>
  <c r="F42" i="4"/>
  <c r="D42" i="4"/>
  <c r="G41" i="4"/>
  <c r="E41" i="4"/>
  <c r="H71" i="5" l="1"/>
  <c r="G71" i="5"/>
  <c r="H67" i="5"/>
  <c r="G67" i="5"/>
  <c r="H63" i="5"/>
  <c r="G63" i="5"/>
  <c r="F42" i="5"/>
  <c r="D42" i="5"/>
  <c r="G41" i="5"/>
  <c r="E41" i="5"/>
  <c r="F96" i="5"/>
  <c r="D96" i="5"/>
  <c r="G95" i="5"/>
  <c r="E95" i="5"/>
  <c r="C138" i="5"/>
  <c r="B134" i="5"/>
  <c r="C121" i="5"/>
  <c r="B117" i="5"/>
  <c r="D101" i="5" s="1"/>
  <c r="B99" i="5"/>
  <c r="F98" i="5"/>
  <c r="B88" i="5"/>
  <c r="D98" i="5" s="1"/>
  <c r="B83" i="5"/>
  <c r="B82" i="5"/>
  <c r="B81" i="5"/>
  <c r="B80" i="5"/>
  <c r="B31" i="1" s="1"/>
  <c r="C76" i="5"/>
  <c r="B68" i="5"/>
  <c r="C56" i="5"/>
  <c r="B55" i="5"/>
  <c r="B45" i="5"/>
  <c r="D48" i="5" s="1"/>
  <c r="F44" i="5"/>
  <c r="B34" i="5"/>
  <c r="D44" i="5" s="1"/>
  <c r="B30" i="5"/>
  <c r="C120" i="4"/>
  <c r="B116" i="4"/>
  <c r="D100" i="4" s="1"/>
  <c r="B98" i="4"/>
  <c r="I92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I39" i="4"/>
  <c r="B34" i="4"/>
  <c r="F44" i="4" s="1"/>
  <c r="B30" i="4"/>
  <c r="C46" i="2"/>
  <c r="C50" i="2" s="1"/>
  <c r="C45" i="2"/>
  <c r="D25" i="2"/>
  <c r="B45" i="1"/>
  <c r="E43" i="1"/>
  <c r="D43" i="1"/>
  <c r="C43" i="1"/>
  <c r="B43" i="1"/>
  <c r="B44" i="1" s="1"/>
  <c r="B24" i="1"/>
  <c r="B23" i="1"/>
  <c r="D24" i="2" l="1"/>
  <c r="D28" i="2"/>
  <c r="D32" i="2"/>
  <c r="D36" i="2"/>
  <c r="D40" i="2"/>
  <c r="D49" i="2"/>
  <c r="D45" i="5"/>
  <c r="E39" i="5" s="1"/>
  <c r="D33" i="2"/>
  <c r="D37" i="2"/>
  <c r="D41" i="2"/>
  <c r="B84" i="5"/>
  <c r="B32" i="1"/>
  <c r="D50" i="2"/>
  <c r="D26" i="2"/>
  <c r="D30" i="2"/>
  <c r="D34" i="2"/>
  <c r="D38" i="2"/>
  <c r="D42" i="2"/>
  <c r="B49" i="2"/>
  <c r="D27" i="2"/>
  <c r="D31" i="2"/>
  <c r="D35" i="2"/>
  <c r="D39" i="2"/>
  <c r="D43" i="2"/>
  <c r="C49" i="2"/>
  <c r="D101" i="4"/>
  <c r="D102" i="4" s="1"/>
  <c r="D44" i="4"/>
  <c r="D45" i="4" s="1"/>
  <c r="D98" i="4"/>
  <c r="F45" i="4"/>
  <c r="E38" i="5"/>
  <c r="D102" i="5"/>
  <c r="D103" i="5" s="1"/>
  <c r="F45" i="5"/>
  <c r="D99" i="5"/>
  <c r="F99" i="5"/>
  <c r="D49" i="5"/>
  <c r="D49" i="4"/>
  <c r="F97" i="4"/>
  <c r="F98" i="4" s="1"/>
  <c r="B57" i="5"/>
  <c r="B69" i="5" s="1"/>
  <c r="B57" i="4"/>
  <c r="B69" i="4" s="1"/>
  <c r="E40" i="5" l="1"/>
  <c r="D46" i="5"/>
  <c r="B13" i="1" s="1"/>
  <c r="F99" i="4"/>
  <c r="G92" i="4"/>
  <c r="G93" i="4"/>
  <c r="G91" i="4"/>
  <c r="D99" i="4"/>
  <c r="E93" i="4"/>
  <c r="E91" i="4"/>
  <c r="E92" i="4"/>
  <c r="F46" i="4"/>
  <c r="G40" i="4"/>
  <c r="G38" i="4"/>
  <c r="G39" i="4"/>
  <c r="E40" i="4"/>
  <c r="E38" i="4"/>
  <c r="E39" i="4"/>
  <c r="D52" i="4" s="1"/>
  <c r="D46" i="4"/>
  <c r="F46" i="5"/>
  <c r="G39" i="5"/>
  <c r="G40" i="5"/>
  <c r="D50" i="5" s="1"/>
  <c r="G38" i="5"/>
  <c r="E42" i="5"/>
  <c r="F100" i="5"/>
  <c r="G94" i="5"/>
  <c r="G92" i="5"/>
  <c r="G93" i="5"/>
  <c r="D100" i="5"/>
  <c r="B34" i="1" s="1"/>
  <c r="E93" i="5"/>
  <c r="E94" i="5"/>
  <c r="E92" i="5"/>
  <c r="G96" i="5" l="1"/>
  <c r="G95" i="4"/>
  <c r="E95" i="4"/>
  <c r="G42" i="4"/>
  <c r="E42" i="4"/>
  <c r="D50" i="4"/>
  <c r="G66" i="4" s="1"/>
  <c r="H66" i="4" s="1"/>
  <c r="D105" i="4"/>
  <c r="D103" i="4"/>
  <c r="E113" i="4" s="1"/>
  <c r="F113" i="4" s="1"/>
  <c r="D52" i="5"/>
  <c r="G69" i="5"/>
  <c r="H69" i="5" s="1"/>
  <c r="G65" i="5"/>
  <c r="H65" i="5" s="1"/>
  <c r="G61" i="5"/>
  <c r="H61" i="5" s="1"/>
  <c r="G70" i="5"/>
  <c r="H70" i="5" s="1"/>
  <c r="G66" i="5"/>
  <c r="H66" i="5" s="1"/>
  <c r="G64" i="5"/>
  <c r="H64" i="5" s="1"/>
  <c r="G60" i="5"/>
  <c r="H60" i="5" s="1"/>
  <c r="G62" i="5"/>
  <c r="H62" i="5" s="1"/>
  <c r="G68" i="5"/>
  <c r="H68" i="5" s="1"/>
  <c r="G42" i="5"/>
  <c r="E96" i="5"/>
  <c r="D104" i="5"/>
  <c r="E130" i="5" s="1"/>
  <c r="F130" i="5" s="1"/>
  <c r="D106" i="5"/>
  <c r="D51" i="4"/>
  <c r="G70" i="4"/>
  <c r="H70" i="4" s="1"/>
  <c r="G65" i="4"/>
  <c r="H65" i="4" s="1"/>
  <c r="G63" i="4"/>
  <c r="H63" i="4" s="1"/>
  <c r="G61" i="4"/>
  <c r="H61" i="4" s="1"/>
  <c r="D51" i="5"/>
  <c r="E110" i="5" l="1"/>
  <c r="F110" i="5" s="1"/>
  <c r="E111" i="5"/>
  <c r="F111" i="5" s="1"/>
  <c r="E128" i="5"/>
  <c r="F128" i="5" s="1"/>
  <c r="E113" i="5"/>
  <c r="F113" i="5" s="1"/>
  <c r="D105" i="5"/>
  <c r="D104" i="4"/>
  <c r="E110" i="4"/>
  <c r="F110" i="4" s="1"/>
  <c r="E109" i="4"/>
  <c r="F109" i="4" s="1"/>
  <c r="E108" i="4"/>
  <c r="E111" i="4"/>
  <c r="F111" i="4" s="1"/>
  <c r="E112" i="4"/>
  <c r="F112" i="4" s="1"/>
  <c r="G64" i="4"/>
  <c r="H64" i="4" s="1"/>
  <c r="G60" i="4"/>
  <c r="H60" i="4" s="1"/>
  <c r="G69" i="4"/>
  <c r="H69" i="4" s="1"/>
  <c r="G68" i="4"/>
  <c r="H68" i="4" s="1"/>
  <c r="G67" i="4"/>
  <c r="H67" i="4" s="1"/>
  <c r="G62" i="4"/>
  <c r="H62" i="4" s="1"/>
  <c r="G71" i="4"/>
  <c r="H71" i="4" s="1"/>
  <c r="E127" i="5"/>
  <c r="F127" i="5" s="1"/>
  <c r="E114" i="5"/>
  <c r="F114" i="5" s="1"/>
  <c r="E131" i="5"/>
  <c r="F131" i="5" s="1"/>
  <c r="E126" i="5"/>
  <c r="F126" i="5" s="1"/>
  <c r="E109" i="5"/>
  <c r="F109" i="5" s="1"/>
  <c r="E129" i="5"/>
  <c r="F129" i="5" s="1"/>
  <c r="E112" i="5"/>
  <c r="F112" i="5" s="1"/>
  <c r="F116" i="5" s="1"/>
  <c r="E117" i="4" l="1"/>
  <c r="E115" i="4"/>
  <c r="E116" i="4" s="1"/>
  <c r="F108" i="4"/>
  <c r="F115" i="4" s="1"/>
  <c r="G72" i="4"/>
  <c r="G73" i="4" s="1"/>
  <c r="G74" i="4"/>
  <c r="F135" i="5"/>
  <c r="F133" i="5"/>
  <c r="F134" i="5" s="1"/>
  <c r="F118" i="5"/>
  <c r="G76" i="5"/>
  <c r="H74" i="4"/>
  <c r="H72" i="4"/>
  <c r="F117" i="5"/>
  <c r="G121" i="5"/>
  <c r="F117" i="4" l="1"/>
  <c r="G138" i="5"/>
  <c r="G120" i="4"/>
  <c r="F116" i="4"/>
  <c r="G76" i="4"/>
  <c r="H73" i="4"/>
</calcChain>
</file>

<file path=xl/sharedStrings.xml><?xml version="1.0" encoding="utf-8"?>
<sst xmlns="http://schemas.openxmlformats.org/spreadsheetml/2006/main" count="436" uniqueCount="159">
  <si>
    <t>HPLC System Suitability Report</t>
  </si>
  <si>
    <t>Analysis Data</t>
  </si>
  <si>
    <t>Assay</t>
  </si>
  <si>
    <t>Sample(s)</t>
  </si>
  <si>
    <t>Reference Substance:</t>
  </si>
  <si>
    <t>BI-CORTEM TABLETS</t>
  </si>
  <si>
    <t>% age Purity:</t>
  </si>
  <si>
    <t>NDQD201508190</t>
  </si>
  <si>
    <t>Weight (mg):</t>
  </si>
  <si>
    <t>Artemether &amp; Lumefantrine</t>
  </si>
  <si>
    <t>Standard Conc (mg/mL):</t>
  </si>
  <si>
    <t>Each tablet contains:
Artemether 20 mg
Lumefantrine 120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</si>
  <si>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</si>
  <si>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</si>
  <si>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</si>
  <si>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</si>
  <si>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</si>
  <si>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</si>
  <si>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</si>
  <si>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</si>
  <si>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</si>
  <si>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</si>
  <si>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</si>
  <si>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</si>
  <si>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</si>
  <si>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</si>
  <si>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</si>
  <si>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</si>
  <si>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</si>
  <si>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</si>
  <si>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</si>
  <si>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</si>
  <si>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</si>
  <si>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</si>
  <si>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</si>
  <si>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</si>
  <si>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</si>
  <si>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</si>
  <si>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</si>
  <si>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</si>
  <si>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</si>
  <si>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</si>
  <si>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</si>
  <si>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</si>
  <si>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</si>
  <si>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</si>
  <si>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</si>
  <si>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</si>
  <si>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</si>
  <si>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</si>
  <si>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</si>
  <si>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</si>
  <si>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</si>
  <si>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</si>
  <si>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</si>
  <si>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</si>
  <si>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</si>
  <si>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</si>
  <si>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</si>
  <si>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</si>
  <si>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</si>
  <si>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</si>
  <si>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</si>
  <si>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</si>
  <si>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</si>
  <si>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</si>
  <si>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</si>
  <si>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</si>
  <si>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</si>
  <si>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</si>
  <si>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</si>
  <si>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</si>
  <si>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</si>
  <si>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</si>
  <si>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</si>
  <si>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</si>
  <si>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</si>
  <si>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</si>
  <si>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</si>
  <si>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</si>
  <si>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</si>
  <si>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</si>
  <si>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</si>
  <si>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</si>
  <si>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</si>
  <si>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</si>
  <si>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</si>
  <si>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</si>
  <si>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</si>
  <si>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</si>
  <si>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</si>
  <si>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</si>
  <si>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</si>
  <si>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</si>
  <si>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</si>
  <si>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</si>
  <si>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</si>
  <si>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</si>
  <si>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</si>
  <si>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</si>
  <si>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</si>
  <si>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</si>
  <si>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</si>
  <si>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</si>
  <si>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</si>
  <si>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</si>
  <si>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</si>
  <si>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</si>
  <si>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</si>
  <si>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</si>
  <si>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</si>
  <si>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</si>
  <si>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</si>
  <si>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</si>
  <si>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</si>
  <si>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</si>
  <si>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</si>
  <si>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</si>
  <si>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</si>
  <si>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</si>
  <si>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</si>
  <si>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</si>
  <si>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</si>
  <si>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F0J018</t>
  </si>
  <si>
    <t>Initial    Standard dilution</t>
  </si>
  <si>
    <t>Inj</t>
  </si>
  <si>
    <t>Desired Concetration (mg/mL):</t>
  </si>
  <si>
    <t>Initial    Sample dilution</t>
  </si>
  <si>
    <t>Comment</t>
  </si>
  <si>
    <t>Analysis Data:</t>
  </si>
  <si>
    <t>Determination of Active Ingredient Dissolved after</t>
  </si>
  <si>
    <t>1hr</t>
  </si>
  <si>
    <t>tablet No.</t>
  </si>
  <si>
    <t>3hrs</t>
  </si>
  <si>
    <t xml:space="preserve">BI CORTEM </t>
  </si>
  <si>
    <t>EACH TABLET CONTAINS ARTEMETHER 20MG</t>
  </si>
  <si>
    <t>ARTEMETHER</t>
  </si>
  <si>
    <t xml:space="preserve">                                              </t>
  </si>
  <si>
    <t xml:space="preserve">Lumefantrine </t>
  </si>
  <si>
    <t>WS/14/046</t>
  </si>
  <si>
    <t>29th oct 2015</t>
  </si>
  <si>
    <t>4th Dec 2015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</si>
  <si>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</si>
  <si>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</si>
  <si>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</si>
  <si>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</si>
  <si>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</si>
  <si>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</si>
  <si>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</si>
  <si>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Standard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</si>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</sst>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i/>
      <sz val="1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8"/>
      <color rgb="FF000000"/>
      <name val="Book Antiqua"/>
      <family val="1"/>
    </font>
    <font>
      <b/>
      <sz val="11"/>
      <color rgb="FF000000"/>
      <name val="Book Antiqua"/>
      <family val="1"/>
    </font>
    <font>
      <b/>
      <sz val="12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rgb="FF000000"/>
      <name val="Arial"/>
      <family val="2"/>
    </font>
    <font>
      <b/>
      <vertAlign val="superscript"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/>
    <xf numFmtId="0" fontId="5" fillId="2" borderId="11" xfId="0" applyFont="1" applyFill="1" applyBorder="1"/>
    <xf numFmtId="0" fontId="5" fillId="2" borderId="0" xfId="0" applyFont="1" applyFill="1"/>
    <xf numFmtId="2" fontId="5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left"/>
      <protection locked="0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71" fontId="11" fillId="7" borderId="13" xfId="0" applyNumberFormat="1" applyFont="1" applyFill="1" applyBorder="1" applyAlignment="1">
      <alignment horizontal="center"/>
    </xf>
    <xf numFmtId="172" fontId="12" fillId="3" borderId="0" xfId="0" applyNumberFormat="1" applyFont="1" applyFill="1" applyAlignment="1" applyProtection="1">
      <alignment horizontal="center"/>
      <protection locked="0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171" fontId="11" fillId="6" borderId="15" xfId="0" applyNumberFormat="1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right"/>
    </xf>
    <xf numFmtId="0" fontId="10" fillId="2" borderId="24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right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1" fontId="11" fillId="6" borderId="3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6" borderId="41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/>
    <xf numFmtId="0" fontId="11" fillId="2" borderId="22" xfId="0" applyFont="1" applyFill="1" applyBorder="1" applyAlignment="1">
      <alignment horizontal="center" wrapText="1"/>
    </xf>
    <xf numFmtId="2" fontId="10" fillId="2" borderId="26" xfId="0" applyNumberFormat="1" applyFont="1" applyFill="1" applyBorder="1" applyAlignment="1">
      <alignment horizontal="center"/>
    </xf>
    <xf numFmtId="10" fontId="10" fillId="2" borderId="30" xfId="0" applyNumberFormat="1" applyFont="1" applyFill="1" applyBorder="1" applyAlignment="1">
      <alignment horizontal="center"/>
    </xf>
    <xf numFmtId="2" fontId="10" fillId="2" borderId="31" xfId="0" applyNumberFormat="1" applyFont="1" applyFill="1" applyBorder="1" applyAlignment="1">
      <alignment horizontal="center"/>
    </xf>
    <xf numFmtId="2" fontId="10" fillId="2" borderId="35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0" fontId="10" fillId="2" borderId="23" xfId="0" applyFont="1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right"/>
    </xf>
    <xf numFmtId="0" fontId="10" fillId="2" borderId="43" xfId="0" applyFont="1" applyFill="1" applyBorder="1"/>
    <xf numFmtId="0" fontId="10" fillId="2" borderId="59" xfId="0" applyFont="1" applyFill="1" applyBorder="1" applyAlignment="1">
      <alignment horizontal="center"/>
    </xf>
    <xf numFmtId="0" fontId="10" fillId="2" borderId="56" xfId="0" applyFont="1" applyFill="1" applyBorder="1" applyAlignment="1">
      <alignment horizontal="right"/>
    </xf>
    <xf numFmtId="0" fontId="10" fillId="2" borderId="48" xfId="0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0" fontId="10" fillId="2" borderId="15" xfId="0" applyNumberFormat="1" applyFont="1" applyFill="1" applyBorder="1" applyAlignment="1">
      <alignment horizontal="center" vertical="center"/>
    </xf>
    <xf numFmtId="10" fontId="10" fillId="2" borderId="32" xfId="0" applyNumberFormat="1" applyFont="1" applyFill="1" applyBorder="1" applyAlignment="1">
      <alignment horizontal="center"/>
    </xf>
    <xf numFmtId="10" fontId="10" fillId="2" borderId="36" xfId="0" applyNumberFormat="1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9" fontId="10" fillId="3" borderId="0" xfId="0" applyNumberFormat="1" applyFont="1" applyFill="1" applyAlignment="1" applyProtection="1">
      <alignment horizontal="left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1" xfId="0" applyNumberFormat="1" applyFont="1" applyFill="1" applyBorder="1" applyAlignment="1">
      <alignment horizontal="center"/>
    </xf>
    <xf numFmtId="171" fontId="10" fillId="2" borderId="35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10" fontId="10" fillId="2" borderId="24" xfId="0" applyNumberFormat="1" applyFont="1" applyFill="1" applyBorder="1" applyAlignment="1">
      <alignment horizontal="center"/>
    </xf>
    <xf numFmtId="10" fontId="10" fillId="2" borderId="33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2" fontId="10" fillId="7" borderId="30" xfId="0" applyNumberFormat="1" applyFont="1" applyFill="1" applyBorder="1" applyAlignment="1">
      <alignment horizontal="center"/>
    </xf>
    <xf numFmtId="0" fontId="10" fillId="2" borderId="7" xfId="0" applyFont="1" applyFill="1" applyBorder="1" applyProtection="1">
      <protection locked="0"/>
    </xf>
    <xf numFmtId="0" fontId="11" fillId="2" borderId="11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0" fontId="12" fillId="3" borderId="23" xfId="0" applyFont="1" applyFill="1" applyBorder="1" applyAlignment="1" applyProtection="1">
      <alignment horizontal="center"/>
      <protection locked="0"/>
    </xf>
    <xf numFmtId="0" fontId="12" fillId="3" borderId="34" xfId="0" applyFont="1" applyFill="1" applyBorder="1" applyAlignment="1" applyProtection="1">
      <alignment horizont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27" xfId="0" applyFont="1" applyFill="1" applyBorder="1" applyAlignment="1" applyProtection="1">
      <alignment horizontal="center"/>
      <protection locked="0"/>
    </xf>
    <xf numFmtId="2" fontId="13" fillId="2" borderId="44" xfId="0" applyNumberFormat="1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2" fillId="3" borderId="43" xfId="0" applyFont="1" applyFill="1" applyBorder="1" applyAlignment="1" applyProtection="1">
      <alignment horizontal="center"/>
      <protection locked="0"/>
    </xf>
    <xf numFmtId="10" fontId="12" fillId="7" borderId="33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0" fontId="12" fillId="7" borderId="46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center"/>
      <protection locked="0"/>
    </xf>
    <xf numFmtId="10" fontId="12" fillId="7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0" fillId="2" borderId="24" xfId="0" applyFont="1" applyFill="1" applyBorder="1" applyAlignment="1" applyProtection="1">
      <alignment horizontal="center"/>
      <protection locked="0"/>
    </xf>
    <xf numFmtId="0" fontId="10" fillId="2" borderId="0" xfId="0" applyFont="1" applyFill="1" applyProtection="1"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25" fillId="3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4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0" fontId="26" fillId="3" borderId="29" xfId="0" applyFont="1" applyFill="1" applyBorder="1" applyAlignment="1" applyProtection="1">
      <alignment horizontal="center"/>
      <protection locked="0"/>
    </xf>
    <xf numFmtId="2" fontId="12" fillId="3" borderId="52" xfId="0" applyNumberFormat="1" applyFont="1" applyFill="1" applyBorder="1" applyAlignment="1" applyProtection="1">
      <alignment horizontal="center"/>
      <protection locked="0"/>
    </xf>
    <xf numFmtId="166" fontId="12" fillId="3" borderId="31" xfId="0" applyNumberFormat="1" applyFont="1" applyFill="1" applyBorder="1" applyAlignment="1" applyProtection="1">
      <alignment horizontal="center"/>
      <protection locked="0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7" fillId="3" borderId="3" xfId="0" applyFont="1" applyFill="1" applyBorder="1" applyAlignment="1" applyProtection="1">
      <alignment horizontal="center"/>
      <protection locked="0"/>
    </xf>
    <xf numFmtId="2" fontId="27" fillId="3" borderId="3" xfId="0" applyNumberFormat="1" applyFont="1" applyFill="1" applyBorder="1" applyAlignment="1" applyProtection="1">
      <alignment horizontal="center"/>
      <protection locked="0"/>
    </xf>
    <xf numFmtId="2" fontId="27" fillId="3" borderId="4" xfId="0" applyNumberFormat="1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  <xf numFmtId="2" fontId="27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8" fillId="2" borderId="0" xfId="0" applyFont="1" applyFill="1"/>
    <xf numFmtId="167" fontId="5" fillId="2" borderId="0" xfId="0" applyNumberFormat="1" applyFont="1" applyFill="1" applyAlignment="1">
      <alignment horizontal="center"/>
    </xf>
    <xf numFmtId="167" fontId="5" fillId="2" borderId="0" xfId="0" applyNumberFormat="1" applyFont="1" applyFill="1"/>
    <xf numFmtId="0" fontId="28" fillId="2" borderId="0" xfId="0" applyFont="1" applyFill="1"/>
    <xf numFmtId="0" fontId="1" fillId="2" borderId="0" xfId="0" applyFont="1" applyFill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10" fontId="5" fillId="2" borderId="13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2" fontId="5" fillId="3" borderId="15" xfId="0" applyNumberFormat="1" applyFont="1" applyFill="1" applyBorder="1" applyProtection="1">
      <protection locked="0"/>
    </xf>
    <xf numFmtId="10" fontId="5" fillId="2" borderId="15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0" fontId="1" fillId="2" borderId="0" xfId="0" applyNumberFormat="1" applyFont="1" applyFill="1"/>
    <xf numFmtId="0" fontId="5" fillId="2" borderId="9" xfId="0" applyFont="1" applyFill="1" applyBorder="1"/>
    <xf numFmtId="10" fontId="5" fillId="2" borderId="9" xfId="0" applyNumberFormat="1" applyFont="1" applyFill="1" applyBorder="1"/>
    <xf numFmtId="0" fontId="12" fillId="2" borderId="0" xfId="0" applyFont="1" applyFill="1"/>
    <xf numFmtId="0" fontId="11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29" fillId="2" borderId="0" xfId="0" applyFont="1" applyFill="1"/>
    <xf numFmtId="0" fontId="18" fillId="2" borderId="0" xfId="0" applyFont="1" applyFill="1"/>
    <xf numFmtId="0" fontId="30" fillId="2" borderId="0" xfId="0" applyFont="1" applyFill="1"/>
    <xf numFmtId="0" fontId="11" fillId="2" borderId="21" xfId="0" applyFont="1" applyFill="1" applyBorder="1" applyAlignment="1">
      <alignment horizontal="right"/>
    </xf>
    <xf numFmtId="0" fontId="11" fillId="2" borderId="23" xfId="0" applyFont="1" applyFill="1" applyBorder="1" applyAlignment="1">
      <alignment horizontal="right"/>
    </xf>
    <xf numFmtId="0" fontId="11" fillId="2" borderId="28" xfId="0" applyFont="1" applyFill="1" applyBorder="1" applyAlignment="1">
      <alignment horizontal="center"/>
    </xf>
    <xf numFmtId="171" fontId="26" fillId="2" borderId="26" xfId="0" applyNumberFormat="1" applyFont="1" applyFill="1" applyBorder="1" applyAlignment="1">
      <alignment horizontal="center"/>
    </xf>
    <xf numFmtId="171" fontId="26" fillId="2" borderId="30" xfId="0" applyNumberFormat="1" applyFont="1" applyFill="1" applyBorder="1" applyAlignment="1">
      <alignment horizontal="center"/>
    </xf>
    <xf numFmtId="0" fontId="30" fillId="2" borderId="13" xfId="0" applyFont="1" applyFill="1" applyBorder="1"/>
    <xf numFmtId="171" fontId="26" fillId="2" borderId="31" xfId="0" applyNumberFormat="1" applyFont="1" applyFill="1" applyBorder="1" applyAlignment="1">
      <alignment horizontal="center"/>
    </xf>
    <xf numFmtId="171" fontId="26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171" fontId="26" fillId="2" borderId="35" xfId="0" applyNumberFormat="1" applyFont="1" applyFill="1" applyBorder="1" applyAlignment="1">
      <alignment horizontal="center"/>
    </xf>
    <xf numFmtId="171" fontId="26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0" fontId="11" fillId="2" borderId="22" xfId="0" applyNumberFormat="1" applyFont="1" applyFill="1" applyBorder="1" applyAlignment="1">
      <alignment horizontal="center" vertical="center"/>
    </xf>
    <xf numFmtId="166" fontId="11" fillId="2" borderId="14" xfId="0" applyNumberFormat="1" applyFont="1" applyFill="1" applyBorder="1" applyAlignment="1">
      <alignment horizontal="center"/>
    </xf>
    <xf numFmtId="10" fontId="11" fillId="2" borderId="24" xfId="0" applyNumberFormat="1" applyFont="1" applyFill="1" applyBorder="1" applyAlignment="1">
      <alignment horizontal="center" vertical="center"/>
    </xf>
    <xf numFmtId="166" fontId="11" fillId="2" borderId="15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/>
    </xf>
    <xf numFmtId="2" fontId="12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0" fontId="11" fillId="2" borderId="0" xfId="0" applyNumberFormat="1" applyFont="1" applyFill="1" applyAlignment="1">
      <alignment horizontal="center"/>
    </xf>
    <xf numFmtId="0" fontId="11" fillId="2" borderId="23" xfId="0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1" fillId="2" borderId="9" xfId="0" applyFont="1" applyFill="1" applyBorder="1"/>
    <xf numFmtId="0" fontId="11" fillId="2" borderId="7" xfId="0" applyFont="1" applyFill="1" applyBorder="1"/>
    <xf numFmtId="0" fontId="1" fillId="2" borderId="9" xfId="0" applyFont="1" applyFill="1" applyBorder="1"/>
    <xf numFmtId="10" fontId="1" fillId="2" borderId="9" xfId="0" applyNumberFormat="1" applyFont="1" applyFill="1" applyBorder="1"/>
    <xf numFmtId="0" fontId="1" fillId="2" borderId="10" xfId="0" applyFont="1" applyFill="1" applyBorder="1" applyAlignment="1"/>
    <xf numFmtId="0" fontId="1" fillId="2" borderId="7" xfId="0" applyFont="1" applyFill="1" applyBorder="1"/>
    <xf numFmtId="10" fontId="10" fillId="8" borderId="13" xfId="0" applyNumberFormat="1" applyFont="1" applyFill="1" applyBorder="1" applyAlignment="1">
      <alignment horizontal="center" vertical="center"/>
    </xf>
    <xf numFmtId="10" fontId="10" fillId="8" borderId="14" xfId="0" applyNumberFormat="1" applyFont="1" applyFill="1" applyBorder="1" applyAlignment="1">
      <alignment horizontal="center" vertical="center"/>
    </xf>
    <xf numFmtId="166" fontId="11" fillId="6" borderId="49" xfId="0" applyNumberFormat="1" applyFont="1" applyFill="1" applyBorder="1" applyAlignment="1">
      <alignment horizontal="center"/>
    </xf>
    <xf numFmtId="166" fontId="11" fillId="6" borderId="5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0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3" fillId="2" borderId="18" xfId="0" applyFont="1" applyFill="1" applyBorder="1" applyAlignment="1">
      <alignment horizontal="center"/>
    </xf>
    <xf numFmtId="0" fontId="23" fillId="2" borderId="19" xfId="0" applyFont="1" applyFill="1" applyBorder="1" applyAlignment="1">
      <alignment horizontal="center"/>
    </xf>
    <xf numFmtId="0" fontId="23" fillId="2" borderId="2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8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METHER "/>
      <sheetName val="LUMEFANTRINE"/>
    </sheetNames>
    <sheetDataSet>
      <sheetData sheetId="0"/>
      <sheetData sheetId="1"/>
      <sheetData sheetId="2"/>
      <sheetData sheetId="3">
        <row r="26">
          <cell r="B26" t="str">
            <v xml:space="preserve">Lumefantrine </v>
          </cell>
        </row>
        <row r="30">
          <cell r="B30">
            <v>100.2</v>
          </cell>
        </row>
        <row r="43">
          <cell r="D43">
            <v>14.52</v>
          </cell>
        </row>
        <row r="45">
          <cell r="B45">
            <v>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0"/>
  <sheetViews>
    <sheetView view="pageBreakPreview" topLeftCell="A49" zoomScale="60" zoomScaleNormal="100" workbookViewId="0">
      <selection activeCell="B97" sqref="B97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7" spans="1:5" ht="18.75" customHeight="1" x14ac:dyDescent="0.3">
      <c r="A7" s="390" t="s">
        <v>0</v>
      </c>
      <c r="B7" s="390"/>
      <c r="C7" s="390"/>
      <c r="D7" s="390"/>
      <c r="E7" s="390"/>
    </row>
    <row r="8" spans="1:5" ht="16.5" customHeight="1" x14ac:dyDescent="0.3">
      <c r="A8" s="57" t="s">
        <v>1</v>
      </c>
      <c r="B8" s="46" t="s">
        <v>2</v>
      </c>
      <c r="C8" s="1"/>
      <c r="D8" s="1"/>
      <c r="E8" s="1"/>
    </row>
    <row r="9" spans="1:5" ht="16.5" customHeight="1" x14ac:dyDescent="0.3">
      <c r="A9" s="7" t="s">
        <v>3</v>
      </c>
      <c r="B9" s="7" t="s">
        <v>5</v>
      </c>
      <c r="C9" s="1"/>
      <c r="D9" s="8"/>
      <c r="E9" s="51"/>
    </row>
    <row r="10" spans="1:5" ht="16.5" customHeight="1" x14ac:dyDescent="0.3">
      <c r="A10" s="51" t="s">
        <v>4</v>
      </c>
      <c r="B10" s="11" t="s">
        <v>7</v>
      </c>
      <c r="C10" s="51"/>
      <c r="D10" s="51"/>
      <c r="E10" s="51"/>
    </row>
    <row r="11" spans="1:5" ht="16.5" customHeight="1" x14ac:dyDescent="0.3">
      <c r="A11" s="51" t="s">
        <v>6</v>
      </c>
      <c r="B11" s="262">
        <f>'ARTEMETHER '!B28</f>
        <v>99.8</v>
      </c>
      <c r="C11" s="51"/>
      <c r="D11" s="51"/>
      <c r="E11" s="51"/>
    </row>
    <row r="12" spans="1:5" ht="16.5" customHeight="1" x14ac:dyDescent="0.3">
      <c r="A12" s="7" t="s">
        <v>8</v>
      </c>
      <c r="B12" s="11">
        <f>'ARTEMETHER '!D43</f>
        <v>23.61</v>
      </c>
      <c r="C12" s="51"/>
      <c r="D12" s="51"/>
      <c r="E12" s="51"/>
    </row>
    <row r="13" spans="1:5" ht="16.5" customHeight="1" x14ac:dyDescent="0.3">
      <c r="A13" s="7" t="s">
        <v>10</v>
      </c>
      <c r="B13" s="12">
        <f>'ARTEMETHER '!D46</f>
        <v>0.23562779999999997</v>
      </c>
      <c r="C13" s="51"/>
      <c r="D13" s="51"/>
      <c r="E13" s="51"/>
    </row>
    <row r="14" spans="1:5" ht="15.75" customHeight="1" x14ac:dyDescent="0.3">
      <c r="A14" s="51"/>
      <c r="B14" s="51"/>
      <c r="C14" s="51"/>
      <c r="D14" s="51"/>
      <c r="E14" s="51"/>
    </row>
    <row r="15" spans="1:5" ht="16.5" customHeight="1" x14ac:dyDescent="0.3">
      <c r="A15" s="15" t="s">
        <v>12</v>
      </c>
      <c r="B15" s="14" t="s">
        <v>13</v>
      </c>
      <c r="C15" s="15" t="s">
        <v>14</v>
      </c>
      <c r="D15" s="15" t="s">
        <v>15</v>
      </c>
      <c r="E15" s="15" t="s">
        <v>16</v>
      </c>
    </row>
    <row r="16" spans="1:5" ht="16.5" customHeight="1" x14ac:dyDescent="0.3">
      <c r="A16" s="265">
        <v>1</v>
      </c>
      <c r="B16" s="266">
        <v>2026186</v>
      </c>
      <c r="C16" s="267">
        <v>7004.27</v>
      </c>
      <c r="D16" s="267">
        <v>1.1000000000000001</v>
      </c>
      <c r="E16" s="268">
        <v>4.54</v>
      </c>
    </row>
    <row r="17" spans="1:6" ht="16.5" customHeight="1" x14ac:dyDescent="0.3">
      <c r="A17" s="265">
        <v>2</v>
      </c>
      <c r="B17" s="266">
        <v>2017378</v>
      </c>
      <c r="C17" s="267">
        <v>7048.34</v>
      </c>
      <c r="D17" s="267">
        <v>1.07</v>
      </c>
      <c r="E17" s="267">
        <v>4.55</v>
      </c>
    </row>
    <row r="18" spans="1:6" ht="16.5" customHeight="1" x14ac:dyDescent="0.3">
      <c r="A18" s="265">
        <v>3</v>
      </c>
      <c r="B18" s="266">
        <v>2021715</v>
      </c>
      <c r="C18" s="267">
        <v>7043.38</v>
      </c>
      <c r="D18" s="267">
        <v>1.0900000000000001</v>
      </c>
      <c r="E18" s="267">
        <v>4.55</v>
      </c>
    </row>
    <row r="19" spans="1:6" ht="16.5" customHeight="1" x14ac:dyDescent="0.3">
      <c r="A19" s="265">
        <v>4</v>
      </c>
      <c r="B19" s="266">
        <v>2019065</v>
      </c>
      <c r="C19" s="267">
        <v>7057.42</v>
      </c>
      <c r="D19" s="267">
        <v>1.08</v>
      </c>
      <c r="E19" s="267">
        <v>4.55</v>
      </c>
    </row>
    <row r="20" spans="1:6" ht="16.5" customHeight="1" x14ac:dyDescent="0.3">
      <c r="A20" s="265">
        <v>5</v>
      </c>
      <c r="B20" s="266">
        <v>2019791</v>
      </c>
      <c r="C20" s="267">
        <v>7060.7</v>
      </c>
      <c r="D20" s="267">
        <v>1.08</v>
      </c>
      <c r="E20" s="267">
        <v>4.55</v>
      </c>
    </row>
    <row r="21" spans="1:6" ht="16.5" customHeight="1" x14ac:dyDescent="0.3">
      <c r="A21" s="265">
        <v>6</v>
      </c>
      <c r="B21" s="269">
        <v>2021713</v>
      </c>
      <c r="C21" s="270">
        <v>7039.85</v>
      </c>
      <c r="D21" s="270">
        <v>1.0900000000000001</v>
      </c>
      <c r="E21" s="270">
        <v>4.55</v>
      </c>
    </row>
    <row r="22" spans="1:6" ht="16.5" customHeight="1" x14ac:dyDescent="0.3">
      <c r="A22" s="271" t="s">
        <v>17</v>
      </c>
      <c r="B22" s="23">
        <f>AVERAGE(B16:B21)</f>
        <v>2020974.6666666667</v>
      </c>
      <c r="C22" s="25">
        <f>AVERAGE(C16:C21)</f>
        <v>7042.3266666666668</v>
      </c>
      <c r="D22" s="25">
        <f>AVERAGE(D16:D21)</f>
        <v>1.085</v>
      </c>
      <c r="E22" s="25">
        <f>AVERAGE(E16:E21)</f>
        <v>4.5483333333333338</v>
      </c>
    </row>
    <row r="23" spans="1:6" ht="16.5" customHeight="1" x14ac:dyDescent="0.3">
      <c r="A23" s="272" t="s">
        <v>18</v>
      </c>
      <c r="B23" s="27">
        <f>(STDEV(B16:B21)/B22)</f>
        <v>1.5046662046228933E-3</v>
      </c>
      <c r="C23" s="28"/>
      <c r="D23" s="28"/>
      <c r="E23" s="273"/>
      <c r="F23" s="2"/>
    </row>
    <row r="24" spans="1:6" s="2" customFormat="1" ht="16.5" customHeight="1" x14ac:dyDescent="0.3">
      <c r="A24" s="274" t="s">
        <v>19</v>
      </c>
      <c r="B24" s="31">
        <f>COUNT(B16:B21)</f>
        <v>6</v>
      </c>
      <c r="C24" s="32"/>
      <c r="D24" s="275"/>
      <c r="E24" s="276"/>
    </row>
    <row r="25" spans="1:6" s="2" customFormat="1" ht="15.75" customHeight="1" x14ac:dyDescent="0.25">
      <c r="A25" s="9"/>
      <c r="B25" s="9"/>
      <c r="C25" s="9"/>
      <c r="D25" s="9"/>
      <c r="E25" s="35"/>
    </row>
    <row r="26" spans="1:6" s="2" customFormat="1" ht="16.5" customHeight="1" x14ac:dyDescent="0.3">
      <c r="A26" s="10" t="s">
        <v>20</v>
      </c>
      <c r="B26" s="36" t="s">
        <v>21</v>
      </c>
      <c r="C26" s="37"/>
      <c r="D26" s="37"/>
      <c r="E26" s="38"/>
    </row>
    <row r="27" spans="1:6" ht="16.5" customHeight="1" x14ac:dyDescent="0.3">
      <c r="A27" s="10"/>
      <c r="B27" s="36" t="s">
        <v>22</v>
      </c>
      <c r="C27" s="37"/>
      <c r="D27" s="37"/>
      <c r="E27" s="38"/>
      <c r="F27" s="2"/>
    </row>
    <row r="28" spans="1:6" ht="16.5" customHeight="1" x14ac:dyDescent="0.3">
      <c r="A28" s="10"/>
      <c r="B28" s="39" t="s">
        <v>23</v>
      </c>
      <c r="C28" s="37"/>
      <c r="D28" s="37"/>
      <c r="E28" s="37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4" t="s">
        <v>1</v>
      </c>
      <c r="B30" s="5" t="s">
        <v>24</v>
      </c>
    </row>
    <row r="31" spans="1:6" ht="16.5" customHeight="1" x14ac:dyDescent="0.3">
      <c r="A31" s="10" t="s">
        <v>4</v>
      </c>
      <c r="B31" s="7" t="str">
        <f>'ARTEMETHER '!B80:C80</f>
        <v>ARTEMETHER</v>
      </c>
      <c r="C31" s="49"/>
      <c r="D31" s="49"/>
      <c r="E31" s="49"/>
    </row>
    <row r="32" spans="1:6" ht="16.5" customHeight="1" x14ac:dyDescent="0.3">
      <c r="A32" s="10" t="s">
        <v>6</v>
      </c>
      <c r="B32" s="11">
        <f>'ARTEMETHER '!B82</f>
        <v>99.8</v>
      </c>
      <c r="C32" s="49"/>
      <c r="D32" s="49"/>
      <c r="E32" s="49"/>
    </row>
    <row r="33" spans="1:6" ht="16.5" customHeight="1" x14ac:dyDescent="0.3">
      <c r="A33" s="6" t="s">
        <v>8</v>
      </c>
      <c r="B33" s="11">
        <f>'ARTEMETHER '!D97</f>
        <v>23.92</v>
      </c>
      <c r="C33" s="49"/>
      <c r="D33" s="49"/>
      <c r="E33" s="49"/>
    </row>
    <row r="34" spans="1:6" ht="16.5" customHeight="1" x14ac:dyDescent="0.3">
      <c r="A34" s="6" t="s">
        <v>10</v>
      </c>
      <c r="B34" s="263">
        <f>'ARTEMETHER '!D100</f>
        <v>2.3872159999999996E-2</v>
      </c>
      <c r="C34" s="49"/>
      <c r="D34" s="49"/>
      <c r="E34" s="49"/>
    </row>
    <row r="35" spans="1:6" ht="15.75" customHeight="1" x14ac:dyDescent="0.25">
      <c r="A35" s="9"/>
      <c r="B35" s="49"/>
      <c r="C35" s="49"/>
      <c r="D35" s="49"/>
      <c r="E35" s="49"/>
    </row>
    <row r="36" spans="1:6" ht="16.5" customHeight="1" x14ac:dyDescent="0.3">
      <c r="A36" s="13" t="s">
        <v>12</v>
      </c>
      <c r="B36" s="14" t="s">
        <v>13</v>
      </c>
      <c r="C36" s="15" t="s">
        <v>14</v>
      </c>
      <c r="D36" s="15" t="s">
        <v>15</v>
      </c>
      <c r="E36" s="15" t="s">
        <v>16</v>
      </c>
    </row>
    <row r="37" spans="1:6" ht="16.5" customHeight="1" x14ac:dyDescent="0.3">
      <c r="A37" s="16">
        <v>1</v>
      </c>
      <c r="B37" s="17">
        <v>1567219</v>
      </c>
      <c r="C37" s="17">
        <v>12905.23</v>
      </c>
      <c r="D37" s="18">
        <v>0.98</v>
      </c>
      <c r="E37" s="19">
        <v>9.02</v>
      </c>
    </row>
    <row r="38" spans="1:6" ht="16.5" customHeight="1" x14ac:dyDescent="0.3">
      <c r="A38" s="16">
        <v>2</v>
      </c>
      <c r="B38" s="17">
        <v>1564818</v>
      </c>
      <c r="C38" s="17">
        <v>12730.26</v>
      </c>
      <c r="D38" s="18">
        <v>0.98</v>
      </c>
      <c r="E38" s="18">
        <v>9.02</v>
      </c>
    </row>
    <row r="39" spans="1:6" ht="16.5" customHeight="1" x14ac:dyDescent="0.3">
      <c r="A39" s="16">
        <v>3</v>
      </c>
      <c r="B39" s="17">
        <v>1566946</v>
      </c>
      <c r="C39" s="17">
        <v>12589.65</v>
      </c>
      <c r="D39" s="18">
        <v>0.97</v>
      </c>
      <c r="E39" s="18">
        <v>9.02</v>
      </c>
    </row>
    <row r="40" spans="1:6" ht="16.5" customHeight="1" x14ac:dyDescent="0.3">
      <c r="A40" s="16">
        <v>4</v>
      </c>
      <c r="B40" s="17">
        <v>1566543</v>
      </c>
      <c r="C40" s="17">
        <v>12508.57</v>
      </c>
      <c r="D40" s="18">
        <v>0.97</v>
      </c>
      <c r="E40" s="18">
        <v>9.02</v>
      </c>
    </row>
    <row r="41" spans="1:6" ht="16.5" customHeight="1" x14ac:dyDescent="0.3">
      <c r="A41" s="16">
        <v>5</v>
      </c>
      <c r="B41" s="17">
        <v>1564489</v>
      </c>
      <c r="C41" s="17">
        <v>12388.38</v>
      </c>
      <c r="D41" s="18">
        <v>0.97</v>
      </c>
      <c r="E41" s="18">
        <v>9.02</v>
      </c>
    </row>
    <row r="42" spans="1:6" ht="16.5" customHeight="1" x14ac:dyDescent="0.3">
      <c r="A42" s="16">
        <v>6</v>
      </c>
      <c r="B42" s="20">
        <v>1563373</v>
      </c>
      <c r="C42" s="20">
        <v>12421.91</v>
      </c>
      <c r="D42" s="21">
        <v>0.96</v>
      </c>
      <c r="E42" s="21">
        <v>9.02</v>
      </c>
    </row>
    <row r="43" spans="1:6" ht="16.5" customHeight="1" x14ac:dyDescent="0.3">
      <c r="A43" s="22" t="s">
        <v>17</v>
      </c>
      <c r="B43" s="23">
        <f>AVERAGE(B37:B42)</f>
        <v>1565564.6666666667</v>
      </c>
      <c r="C43" s="24">
        <f>AVERAGE(C37:C42)</f>
        <v>12590.666666666666</v>
      </c>
      <c r="D43" s="25">
        <f>AVERAGE(D37:D42)</f>
        <v>0.97166666666666657</v>
      </c>
      <c r="E43" s="25">
        <f>AVERAGE(E37:E42)</f>
        <v>9.0199999999999978</v>
      </c>
    </row>
    <row r="44" spans="1:6" ht="16.5" customHeight="1" x14ac:dyDescent="0.3">
      <c r="A44" s="26" t="s">
        <v>18</v>
      </c>
      <c r="B44" s="27">
        <f>(STDEV(B37:B42)/B43)</f>
        <v>9.9447864984795542E-4</v>
      </c>
      <c r="C44" s="28"/>
      <c r="D44" s="28"/>
      <c r="E44" s="29"/>
      <c r="F44" s="2"/>
    </row>
    <row r="45" spans="1:6" s="2" customFormat="1" ht="16.5" customHeight="1" x14ac:dyDescent="0.3">
      <c r="A45" s="30" t="s">
        <v>19</v>
      </c>
      <c r="B45" s="31">
        <f>COUNT(B37:B42)</f>
        <v>6</v>
      </c>
      <c r="C45" s="32"/>
      <c r="D45" s="33"/>
      <c r="E45" s="34"/>
    </row>
    <row r="46" spans="1:6" s="2" customFormat="1" ht="15.75" customHeight="1" x14ac:dyDescent="0.25">
      <c r="A46" s="9"/>
      <c r="B46" s="9"/>
      <c r="C46" s="9"/>
      <c r="D46" s="9"/>
      <c r="E46" s="35"/>
    </row>
    <row r="47" spans="1:6" s="2" customFormat="1" ht="16.5" customHeight="1" x14ac:dyDescent="0.3">
      <c r="A47" s="10" t="s">
        <v>20</v>
      </c>
      <c r="B47" s="36" t="s">
        <v>21</v>
      </c>
      <c r="C47" s="37"/>
      <c r="D47" s="37"/>
      <c r="E47" s="38"/>
    </row>
    <row r="48" spans="1:6" ht="16.5" customHeight="1" x14ac:dyDescent="0.3">
      <c r="A48" s="10"/>
      <c r="B48" s="36" t="s">
        <v>22</v>
      </c>
      <c r="C48" s="37"/>
      <c r="D48" s="37"/>
      <c r="E48" s="38"/>
      <c r="F48" s="2"/>
    </row>
    <row r="49" spans="1:9" ht="16.5" customHeight="1" x14ac:dyDescent="0.3">
      <c r="A49" s="10"/>
      <c r="B49" s="39" t="s">
        <v>23</v>
      </c>
      <c r="C49" s="37"/>
      <c r="D49" s="38"/>
      <c r="E49" s="37"/>
    </row>
    <row r="50" spans="1:9" s="40" customFormat="1" ht="16.5" customHeight="1" x14ac:dyDescent="0.3">
      <c r="A50" s="51"/>
      <c r="B50" s="39"/>
      <c r="C50" s="38"/>
      <c r="D50" s="38"/>
      <c r="E50" s="38"/>
      <c r="F50" s="189"/>
      <c r="G50" s="189"/>
      <c r="H50" s="189"/>
      <c r="I50" s="189"/>
    </row>
    <row r="51" spans="1:9" s="40" customFormat="1" ht="16.5" customHeight="1" x14ac:dyDescent="0.3">
      <c r="A51" s="57" t="s">
        <v>1</v>
      </c>
      <c r="B51" s="46" t="s">
        <v>2</v>
      </c>
      <c r="C51" s="189"/>
      <c r="D51" s="189"/>
      <c r="E51" s="189"/>
      <c r="F51" s="189"/>
      <c r="G51" s="189"/>
      <c r="H51" s="189"/>
      <c r="I51" s="189"/>
    </row>
    <row r="52" spans="1:9" s="40" customFormat="1" ht="16.5" customHeight="1" x14ac:dyDescent="0.3">
      <c r="A52" s="7" t="s">
        <v>3</v>
      </c>
      <c r="B52" s="7" t="s">
        <v>5</v>
      </c>
      <c r="C52" s="189"/>
      <c r="D52" s="8"/>
      <c r="E52" s="49"/>
      <c r="F52" s="189"/>
      <c r="G52" s="189"/>
      <c r="H52" s="189"/>
      <c r="I52" s="189"/>
    </row>
    <row r="53" spans="1:9" s="40" customFormat="1" ht="16.5" customHeight="1" x14ac:dyDescent="0.3">
      <c r="A53" s="51" t="s">
        <v>4</v>
      </c>
      <c r="B53" s="277" t="str">
        <f>[1]LUMEFANTRINE!B26</f>
        <v xml:space="preserve">Lumefantrine </v>
      </c>
      <c r="C53" s="49"/>
      <c r="D53" s="49"/>
      <c r="E53" s="49"/>
      <c r="F53" s="189"/>
      <c r="G53" s="189"/>
      <c r="H53" s="189"/>
      <c r="I53" s="189"/>
    </row>
    <row r="54" spans="1:9" s="40" customFormat="1" ht="16.5" customHeight="1" x14ac:dyDescent="0.3">
      <c r="A54" s="51" t="s">
        <v>6</v>
      </c>
      <c r="B54" s="11">
        <f>[1]LUMEFANTRINE!B30</f>
        <v>100.2</v>
      </c>
      <c r="C54" s="49"/>
      <c r="D54" s="49"/>
      <c r="E54" s="49"/>
      <c r="F54" s="189"/>
      <c r="G54" s="189"/>
      <c r="H54" s="189"/>
      <c r="I54" s="189"/>
    </row>
    <row r="55" spans="1:9" s="40" customFormat="1" ht="16.5" customHeight="1" x14ac:dyDescent="0.3">
      <c r="A55" s="7" t="s">
        <v>8</v>
      </c>
      <c r="B55" s="11">
        <f>[1]LUMEFANTRINE!D43</f>
        <v>14.52</v>
      </c>
      <c r="C55" s="49"/>
      <c r="D55" s="49"/>
      <c r="E55" s="49"/>
      <c r="F55" s="189"/>
      <c r="G55" s="189"/>
      <c r="H55" s="189"/>
      <c r="I55" s="189"/>
    </row>
    <row r="56" spans="1:9" s="40" customFormat="1" ht="16.5" customHeight="1" x14ac:dyDescent="0.3">
      <c r="A56" s="7" t="s">
        <v>10</v>
      </c>
      <c r="B56" s="12">
        <f>B55/[1]LUMEFANTRINE!B45</f>
        <v>5.808E-2</v>
      </c>
      <c r="C56" s="49"/>
      <c r="D56" s="49"/>
      <c r="E56" s="49"/>
      <c r="F56" s="189"/>
      <c r="G56" s="189"/>
      <c r="H56" s="189"/>
      <c r="I56" s="189"/>
    </row>
    <row r="57" spans="1:9" s="40" customFormat="1" ht="16.5" customHeight="1" x14ac:dyDescent="0.25">
      <c r="A57" s="49"/>
      <c r="B57" s="49"/>
      <c r="C57" s="49"/>
      <c r="D57" s="49"/>
      <c r="E57" s="49"/>
      <c r="F57" s="189"/>
      <c r="G57" s="189"/>
      <c r="H57" s="189"/>
      <c r="I57" s="189"/>
    </row>
    <row r="58" spans="1:9" s="40" customFormat="1" ht="16.5" customHeight="1" x14ac:dyDescent="0.3">
      <c r="A58" s="15" t="s">
        <v>12</v>
      </c>
      <c r="B58" s="14" t="s">
        <v>13</v>
      </c>
      <c r="C58" s="15" t="s">
        <v>14</v>
      </c>
      <c r="D58" s="15" t="s">
        <v>15</v>
      </c>
      <c r="E58" s="15" t="s">
        <v>16</v>
      </c>
      <c r="F58" s="189"/>
      <c r="G58" s="189"/>
      <c r="H58" s="189"/>
      <c r="I58" s="189"/>
    </row>
    <row r="59" spans="1:9" s="40" customFormat="1" ht="16.5" customHeight="1" x14ac:dyDescent="0.25">
      <c r="A59" s="16">
        <v>1</v>
      </c>
      <c r="B59" s="266">
        <v>7476000</v>
      </c>
      <c r="C59" s="267">
        <v>3926.73</v>
      </c>
      <c r="D59" s="267">
        <v>0.97</v>
      </c>
      <c r="E59" s="268">
        <v>3.8</v>
      </c>
      <c r="F59" s="189"/>
      <c r="G59" s="189"/>
      <c r="H59" s="189"/>
      <c r="I59" s="189"/>
    </row>
    <row r="60" spans="1:9" s="40" customFormat="1" ht="16.5" customHeight="1" x14ac:dyDescent="0.25">
      <c r="A60" s="16">
        <v>2</v>
      </c>
      <c r="B60" s="266">
        <v>7495659</v>
      </c>
      <c r="C60" s="267">
        <v>3906.2</v>
      </c>
      <c r="D60" s="267">
        <v>0.97</v>
      </c>
      <c r="E60" s="267">
        <v>3.8</v>
      </c>
      <c r="F60" s="189"/>
      <c r="G60" s="189"/>
      <c r="H60" s="189"/>
      <c r="I60" s="189"/>
    </row>
    <row r="61" spans="1:9" s="40" customFormat="1" ht="16.5" customHeight="1" x14ac:dyDescent="0.25">
      <c r="A61" s="16">
        <v>3</v>
      </c>
      <c r="B61" s="266">
        <v>7500415</v>
      </c>
      <c r="C61" s="267">
        <v>3890.42</v>
      </c>
      <c r="D61" s="267">
        <v>0.96</v>
      </c>
      <c r="E61" s="267">
        <v>3.8</v>
      </c>
      <c r="F61" s="189"/>
      <c r="G61" s="189"/>
      <c r="H61" s="189"/>
      <c r="I61" s="189"/>
    </row>
    <row r="62" spans="1:9" s="40" customFormat="1" ht="16.5" customHeight="1" x14ac:dyDescent="0.25">
      <c r="A62" s="16">
        <v>4</v>
      </c>
      <c r="B62" s="266">
        <v>7507896</v>
      </c>
      <c r="C62" s="267">
        <v>3900.71</v>
      </c>
      <c r="D62" s="267">
        <v>0.96</v>
      </c>
      <c r="E62" s="267">
        <v>3.8</v>
      </c>
      <c r="F62" s="189"/>
      <c r="G62" s="189"/>
      <c r="H62" s="189"/>
      <c r="I62" s="189"/>
    </row>
    <row r="63" spans="1:9" s="40" customFormat="1" ht="16.5" customHeight="1" x14ac:dyDescent="0.25">
      <c r="A63" s="16">
        <v>5</v>
      </c>
      <c r="B63" s="266">
        <v>7515115</v>
      </c>
      <c r="C63" s="267">
        <v>3894.7</v>
      </c>
      <c r="D63" s="267">
        <v>0.96</v>
      </c>
      <c r="E63" s="267">
        <v>3.8</v>
      </c>
      <c r="F63" s="189"/>
      <c r="G63" s="189"/>
      <c r="H63" s="189"/>
      <c r="I63" s="189"/>
    </row>
    <row r="64" spans="1:9" s="40" customFormat="1" ht="16.5" customHeight="1" x14ac:dyDescent="0.25">
      <c r="A64" s="16">
        <v>6</v>
      </c>
      <c r="B64" s="269">
        <v>7507986</v>
      </c>
      <c r="C64" s="270">
        <v>3895.21</v>
      </c>
      <c r="D64" s="270">
        <v>0.98</v>
      </c>
      <c r="E64" s="270">
        <v>3.8</v>
      </c>
      <c r="F64" s="189"/>
      <c r="G64" s="189"/>
      <c r="H64" s="189"/>
      <c r="I64" s="189"/>
    </row>
    <row r="65" spans="1:9" s="40" customFormat="1" ht="16.5" customHeight="1" x14ac:dyDescent="0.3">
      <c r="A65" s="22" t="s">
        <v>17</v>
      </c>
      <c r="B65" s="23">
        <f>AVERAGE(B59:B64)</f>
        <v>7500511.833333333</v>
      </c>
      <c r="C65" s="25">
        <f>AVERAGE(C59:C64)</f>
        <v>3902.3283333333334</v>
      </c>
      <c r="D65" s="25">
        <f>AVERAGE(D59:D64)</f>
        <v>0.96666666666666679</v>
      </c>
      <c r="E65" s="25">
        <f>AVERAGE(E59:E64)</f>
        <v>3.8000000000000003</v>
      </c>
      <c r="F65" s="189"/>
      <c r="G65" s="189"/>
      <c r="H65" s="189"/>
      <c r="I65" s="189"/>
    </row>
    <row r="66" spans="1:9" s="40" customFormat="1" ht="16.5" customHeight="1" x14ac:dyDescent="0.3">
      <c r="A66" s="26" t="s">
        <v>18</v>
      </c>
      <c r="B66" s="27">
        <f>(STDEV(B59:B64)/B65)</f>
        <v>1.8358421819301941E-3</v>
      </c>
      <c r="C66" s="28"/>
      <c r="D66" s="28"/>
      <c r="E66" s="29"/>
      <c r="F66" s="189"/>
      <c r="G66" s="189"/>
      <c r="H66" s="189"/>
      <c r="I66" s="189"/>
    </row>
    <row r="67" spans="1:9" s="40" customFormat="1" ht="16.5" customHeight="1" x14ac:dyDescent="0.3">
      <c r="A67" s="30" t="s">
        <v>19</v>
      </c>
      <c r="B67" s="31">
        <f>COUNT(B59:B64)</f>
        <v>6</v>
      </c>
      <c r="C67" s="32"/>
      <c r="D67" s="33"/>
      <c r="E67" s="34"/>
      <c r="F67" s="189"/>
      <c r="G67" s="189"/>
      <c r="H67" s="189"/>
      <c r="I67" s="189"/>
    </row>
    <row r="68" spans="1:9" s="40" customFormat="1" ht="16.5" customHeight="1" x14ac:dyDescent="0.25">
      <c r="A68" s="49"/>
      <c r="B68" s="49"/>
      <c r="C68" s="49"/>
      <c r="D68" s="49"/>
      <c r="E68" s="49"/>
      <c r="F68" s="189"/>
      <c r="G68" s="189"/>
      <c r="H68" s="189"/>
      <c r="I68" s="189"/>
    </row>
    <row r="69" spans="1:9" s="40" customFormat="1" ht="16.5" customHeight="1" x14ac:dyDescent="0.3">
      <c r="A69" s="51" t="s">
        <v>20</v>
      </c>
      <c r="B69" s="39" t="s">
        <v>21</v>
      </c>
      <c r="C69" s="38"/>
      <c r="D69" s="38"/>
      <c r="E69" s="38"/>
      <c r="F69" s="189"/>
      <c r="G69" s="189"/>
      <c r="H69" s="189"/>
      <c r="I69" s="189"/>
    </row>
    <row r="70" spans="1:9" s="40" customFormat="1" ht="16.5" customHeight="1" x14ac:dyDescent="0.3">
      <c r="A70" s="51"/>
      <c r="B70" s="39" t="s">
        <v>22</v>
      </c>
      <c r="C70" s="38"/>
      <c r="D70" s="38"/>
      <c r="E70" s="38"/>
      <c r="F70" s="189"/>
      <c r="G70" s="189"/>
      <c r="H70" s="189"/>
      <c r="I70" s="189"/>
    </row>
    <row r="71" spans="1:9" s="40" customFormat="1" ht="16.5" customHeight="1" x14ac:dyDescent="0.3">
      <c r="A71" s="51"/>
      <c r="B71" s="39" t="s">
        <v>23</v>
      </c>
      <c r="C71" s="38"/>
      <c r="D71" s="38"/>
      <c r="E71" s="38"/>
      <c r="F71" s="189"/>
      <c r="G71" s="189"/>
      <c r="H71" s="189"/>
      <c r="I71" s="189"/>
    </row>
    <row r="72" spans="1:9" s="40" customFormat="1" ht="16.5" customHeight="1" thickBot="1" x14ac:dyDescent="0.35">
      <c r="A72" s="382"/>
      <c r="B72" s="281"/>
      <c r="C72" s="1"/>
      <c r="D72" s="383"/>
      <c r="E72" s="1"/>
      <c r="F72" s="189"/>
      <c r="G72" s="189"/>
      <c r="H72" s="189"/>
      <c r="I72" s="189"/>
    </row>
    <row r="73" spans="1:9" s="40" customFormat="1" ht="16.5" customHeight="1" x14ac:dyDescent="0.3">
      <c r="A73" s="1"/>
      <c r="B73" s="384" t="s">
        <v>25</v>
      </c>
      <c r="C73" s="264" t="s">
        <v>26</v>
      </c>
      <c r="D73" s="1"/>
      <c r="E73" s="264" t="s">
        <v>27</v>
      </c>
      <c r="F73" s="189"/>
      <c r="G73" s="189"/>
      <c r="H73" s="189"/>
      <c r="I73" s="189"/>
    </row>
    <row r="74" spans="1:9" s="40" customFormat="1" ht="16.5" customHeight="1" x14ac:dyDescent="0.3">
      <c r="A74" s="41" t="s">
        <v>28</v>
      </c>
      <c r="B74" s="385"/>
      <c r="C74" s="385"/>
      <c r="D74" s="1"/>
      <c r="E74" s="385"/>
      <c r="F74" s="189"/>
      <c r="G74" s="189"/>
      <c r="H74" s="189"/>
      <c r="I74" s="189"/>
    </row>
    <row r="75" spans="1:9" s="40" customFormat="1" ht="16.5" customHeight="1" x14ac:dyDescent="0.3">
      <c r="A75" s="41" t="s">
        <v>29</v>
      </c>
      <c r="B75" s="42"/>
      <c r="C75" s="42"/>
      <c r="D75" s="1"/>
      <c r="E75" s="42"/>
      <c r="F75" s="189"/>
      <c r="G75" s="189"/>
      <c r="H75" s="189"/>
      <c r="I75" s="189"/>
    </row>
    <row r="76" spans="1:9" s="40" customFormat="1" ht="16.5" customHeight="1" x14ac:dyDescent="0.3">
      <c r="A76" s="51"/>
      <c r="B76" s="39"/>
      <c r="C76" s="38"/>
      <c r="D76" s="38"/>
      <c r="E76" s="38"/>
      <c r="F76" s="189"/>
      <c r="G76" s="189"/>
      <c r="H76" s="189"/>
      <c r="I76" s="189"/>
    </row>
    <row r="77" spans="1:9" s="40" customFormat="1" ht="16.5" customHeight="1" x14ac:dyDescent="0.3">
      <c r="A77" s="51"/>
      <c r="B77" s="39"/>
      <c r="C77" s="38"/>
      <c r="D77" s="38"/>
      <c r="E77" s="38"/>
      <c r="F77" s="189"/>
      <c r="G77" s="189"/>
      <c r="H77" s="189"/>
      <c r="I77" s="189"/>
    </row>
    <row r="78" spans="1:9" s="40" customFormat="1" ht="16.5" customHeight="1" x14ac:dyDescent="0.3">
      <c r="A78" s="51"/>
      <c r="B78" s="39"/>
      <c r="C78" s="38"/>
      <c r="D78" s="38"/>
      <c r="E78" s="38"/>
      <c r="F78" s="189"/>
      <c r="G78" s="189"/>
      <c r="H78" s="189"/>
      <c r="I78" s="189"/>
    </row>
    <row r="79" spans="1:9" s="40" customFormat="1" ht="16.5" customHeight="1" x14ac:dyDescent="0.3">
      <c r="A79" s="51"/>
      <c r="B79" s="39"/>
      <c r="C79" s="38"/>
      <c r="D79" s="38"/>
      <c r="E79" s="38"/>
      <c r="F79" s="189"/>
      <c r="G79" s="189"/>
      <c r="H79" s="189"/>
      <c r="I79" s="189"/>
    </row>
    <row r="80" spans="1:9" s="40" customFormat="1" ht="16.5" customHeight="1" x14ac:dyDescent="0.3">
      <c r="A80" s="51"/>
      <c r="B80" s="39"/>
      <c r="C80" s="38"/>
      <c r="D80" s="38"/>
      <c r="E80" s="38"/>
      <c r="F80" s="189"/>
      <c r="G80" s="189"/>
      <c r="H80" s="189"/>
      <c r="I80" s="189"/>
    </row>
    <row r="81" spans="1:9" s="40" customFormat="1" ht="16.5" customHeight="1" x14ac:dyDescent="0.3">
      <c r="A81" s="51"/>
      <c r="B81" s="39"/>
      <c r="C81" s="38"/>
      <c r="D81" s="38"/>
      <c r="E81" s="38"/>
      <c r="F81" s="189"/>
      <c r="G81" s="189"/>
      <c r="H81" s="189"/>
      <c r="I81" s="189"/>
    </row>
    <row r="82" spans="1:9" s="40" customFormat="1" ht="16.5" customHeight="1" x14ac:dyDescent="0.3">
      <c r="A82" s="51"/>
      <c r="B82" s="39"/>
      <c r="C82" s="38"/>
      <c r="D82" s="38"/>
      <c r="E82" s="38"/>
      <c r="F82" s="189"/>
      <c r="G82" s="189"/>
      <c r="H82" s="189"/>
      <c r="I82" s="189"/>
    </row>
    <row r="83" spans="1:9" s="40" customFormat="1" ht="16.5" customHeight="1" x14ac:dyDescent="0.3">
      <c r="A83" s="51"/>
      <c r="B83" s="39"/>
      <c r="C83" s="38"/>
      <c r="D83" s="38"/>
      <c r="E83" s="38"/>
      <c r="F83" s="189"/>
      <c r="G83" s="189"/>
      <c r="H83" s="189"/>
      <c r="I83" s="189"/>
    </row>
    <row r="84" spans="1:9" s="40" customFormat="1" ht="16.5" customHeight="1" x14ac:dyDescent="0.3">
      <c r="A84" s="51"/>
      <c r="B84" s="39"/>
      <c r="C84" s="38"/>
      <c r="D84" s="38"/>
      <c r="E84" s="38"/>
      <c r="F84" s="189"/>
      <c r="G84" s="189"/>
      <c r="H84" s="189"/>
      <c r="I84" s="189"/>
    </row>
    <row r="85" spans="1:9" s="40" customFormat="1" ht="16.5" customHeight="1" x14ac:dyDescent="0.3">
      <c r="A85" s="51"/>
      <c r="B85" s="39"/>
      <c r="C85" s="38"/>
      <c r="D85" s="38"/>
      <c r="E85" s="38"/>
      <c r="F85" s="189"/>
      <c r="G85" s="189"/>
      <c r="H85" s="189"/>
      <c r="I85" s="189"/>
    </row>
    <row r="86" spans="1:9" s="40" customFormat="1" ht="16.5" customHeight="1" x14ac:dyDescent="0.3">
      <c r="A86" s="51"/>
      <c r="B86" s="39"/>
      <c r="C86" s="38"/>
      <c r="D86" s="38"/>
      <c r="E86" s="38"/>
      <c r="F86" s="189"/>
      <c r="G86" s="189"/>
      <c r="H86" s="189"/>
      <c r="I86" s="189"/>
    </row>
    <row r="87" spans="1:9" s="40" customFormat="1" ht="16.5" customHeight="1" x14ac:dyDescent="0.3">
      <c r="A87" s="51"/>
      <c r="B87" s="39"/>
      <c r="C87" s="38"/>
      <c r="D87" s="38"/>
      <c r="E87" s="38"/>
      <c r="F87" s="189"/>
      <c r="G87" s="189"/>
      <c r="H87" s="189"/>
      <c r="I87" s="189"/>
    </row>
    <row r="88" spans="1:9" s="40" customFormat="1" ht="16.5" customHeight="1" x14ac:dyDescent="0.3">
      <c r="A88" s="51"/>
      <c r="B88" s="39"/>
      <c r="C88" s="38"/>
      <c r="D88" s="38"/>
      <c r="E88" s="38"/>
      <c r="F88" s="189"/>
      <c r="G88" s="189"/>
      <c r="H88" s="189"/>
      <c r="I88" s="189"/>
    </row>
    <row r="89" spans="1:9" s="40" customFormat="1" ht="16.5" customHeight="1" x14ac:dyDescent="0.3">
      <c r="A89" s="51"/>
      <c r="B89" s="39"/>
      <c r="C89" s="38"/>
      <c r="D89" s="38"/>
      <c r="E89" s="38"/>
      <c r="F89" s="189"/>
      <c r="G89" s="189"/>
      <c r="H89" s="189"/>
      <c r="I89" s="189"/>
    </row>
    <row r="90" spans="1:9" s="40" customFormat="1" ht="16.5" customHeight="1" x14ac:dyDescent="0.3">
      <c r="A90" s="51"/>
      <c r="B90" s="39"/>
      <c r="C90" s="38"/>
      <c r="D90" s="38"/>
      <c r="E90" s="38"/>
      <c r="F90" s="189"/>
      <c r="G90" s="189"/>
      <c r="H90" s="189"/>
      <c r="I90" s="189"/>
    </row>
  </sheetData>
  <sheetProtection formatCells="0" formatColumns="0" formatRows="0" insertColumns="0" insertRows="0" insertHyperlinks="0" deleteColumns="0" deleteRows="0" sort="0" autoFilter="0" pivotTables="0"/>
  <mergeCells count="1">
    <mergeCell ref="A7:E7"/>
  </mergeCells>
  <pageMargins left="0.7" right="0.7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28" sqref="D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  <col min="9" max="16384" width="9.140625" style="277"/>
  </cols>
  <sheetData>
    <row r="10" spans="1:7" ht="13.5" customHeight="1" x14ac:dyDescent="0.3"/>
    <row r="11" spans="1:7" ht="13.5" customHeight="1" x14ac:dyDescent="0.3">
      <c r="A11" s="394" t="s">
        <v>30</v>
      </c>
      <c r="B11" s="395"/>
      <c r="C11" s="395"/>
      <c r="D11" s="395"/>
      <c r="E11" s="395"/>
      <c r="F11" s="396"/>
      <c r="G11" s="58"/>
    </row>
    <row r="12" spans="1:7" ht="16.5" customHeight="1" x14ac:dyDescent="0.3">
      <c r="A12" s="393" t="s">
        <v>31</v>
      </c>
      <c r="B12" s="393"/>
      <c r="C12" s="393"/>
      <c r="D12" s="393"/>
      <c r="E12" s="393"/>
      <c r="F12" s="393"/>
      <c r="G12" s="57"/>
    </row>
    <row r="14" spans="1:7" ht="16.5" customHeight="1" x14ac:dyDescent="0.3">
      <c r="A14" s="398" t="s">
        <v>32</v>
      </c>
      <c r="B14" s="398"/>
      <c r="C14" s="51" t="s">
        <v>5</v>
      </c>
    </row>
    <row r="15" spans="1:7" ht="16.5" customHeight="1" x14ac:dyDescent="0.3">
      <c r="A15" s="398" t="s">
        <v>33</v>
      </c>
      <c r="B15" s="398"/>
      <c r="C15" s="51" t="s">
        <v>7</v>
      </c>
    </row>
    <row r="16" spans="1:7" ht="16.5" customHeight="1" x14ac:dyDescent="0.3">
      <c r="A16" s="398" t="s">
        <v>34</v>
      </c>
      <c r="B16" s="398"/>
      <c r="C16" s="51" t="s">
        <v>9</v>
      </c>
    </row>
    <row r="17" spans="1:5" ht="16.5" customHeight="1" x14ac:dyDescent="0.3">
      <c r="A17" s="398" t="s">
        <v>35</v>
      </c>
      <c r="B17" s="398"/>
      <c r="C17" s="51" t="s">
        <v>11</v>
      </c>
    </row>
    <row r="18" spans="1:5" ht="16.5" customHeight="1" x14ac:dyDescent="0.3">
      <c r="A18" s="398" t="s">
        <v>36</v>
      </c>
      <c r="B18" s="398"/>
      <c r="C18" s="278" t="str">
        <f>'ARTEMETHER '!B22</f>
        <v>29th oct 2015</v>
      </c>
    </row>
    <row r="19" spans="1:5" ht="16.5" customHeight="1" x14ac:dyDescent="0.3">
      <c r="A19" s="398" t="s">
        <v>37</v>
      </c>
      <c r="B19" s="398"/>
      <c r="C19" s="278" t="str">
        <f>'ARTEMETHER '!B23</f>
        <v>4th Dec 2015</v>
      </c>
    </row>
    <row r="20" spans="1:5" ht="16.5" customHeight="1" x14ac:dyDescent="0.3">
      <c r="A20" s="250"/>
      <c r="B20" s="250"/>
      <c r="C20" s="279"/>
    </row>
    <row r="21" spans="1:5" ht="16.5" customHeight="1" x14ac:dyDescent="0.3">
      <c r="A21" s="393" t="s">
        <v>1</v>
      </c>
      <c r="B21" s="393"/>
      <c r="C21" s="46" t="s">
        <v>38</v>
      </c>
      <c r="D21" s="280"/>
    </row>
    <row r="22" spans="1:5" ht="15.75" customHeight="1" x14ac:dyDescent="0.3">
      <c r="A22" s="397"/>
      <c r="B22" s="397"/>
      <c r="C22" s="44"/>
      <c r="D22" s="397"/>
      <c r="E22" s="397"/>
    </row>
    <row r="23" spans="1:5" ht="33.75" customHeight="1" x14ac:dyDescent="0.3">
      <c r="C23" s="56" t="s">
        <v>39</v>
      </c>
      <c r="D23" s="55" t="s">
        <v>40</v>
      </c>
      <c r="E23" s="281"/>
    </row>
    <row r="24" spans="1:5" ht="15.75" customHeight="1" x14ac:dyDescent="0.3">
      <c r="C24" s="282">
        <v>608.99</v>
      </c>
      <c r="D24" s="283">
        <f t="shared" ref="D24:D43" si="0">(C24-$C$46)/$C$46</f>
        <v>3.414796904027679E-3</v>
      </c>
      <c r="E24" s="284"/>
    </row>
    <row r="25" spans="1:5" ht="15.75" customHeight="1" x14ac:dyDescent="0.3">
      <c r="C25" s="282">
        <v>610.16999999999996</v>
      </c>
      <c r="D25" s="285">
        <f t="shared" si="0"/>
        <v>5.3590479760431513E-3</v>
      </c>
      <c r="E25" s="284"/>
    </row>
    <row r="26" spans="1:5" ht="15.75" customHeight="1" x14ac:dyDescent="0.3">
      <c r="C26" s="282">
        <v>612.37</v>
      </c>
      <c r="D26" s="285">
        <f t="shared" si="0"/>
        <v>8.9839228560722271E-3</v>
      </c>
      <c r="E26" s="284"/>
    </row>
    <row r="27" spans="1:5" ht="15.75" customHeight="1" x14ac:dyDescent="0.3">
      <c r="C27" s="282">
        <v>604.42999999999995</v>
      </c>
      <c r="D27" s="285">
        <f t="shared" si="0"/>
        <v>-4.0985801200325274E-3</v>
      </c>
      <c r="E27" s="284"/>
    </row>
    <row r="28" spans="1:5" ht="15.75" customHeight="1" x14ac:dyDescent="0.3">
      <c r="C28" s="282">
        <v>602.16</v>
      </c>
      <c r="D28" s="285">
        <f t="shared" si="0"/>
        <v>-7.8387919280624215E-3</v>
      </c>
      <c r="E28" s="284"/>
    </row>
    <row r="29" spans="1:5" ht="15.75" customHeight="1" x14ac:dyDescent="0.3">
      <c r="C29" s="282">
        <v>568.38</v>
      </c>
      <c r="D29" s="285">
        <f t="shared" si="0"/>
        <v>-6.3497098040507655E-2</v>
      </c>
      <c r="E29" s="284"/>
    </row>
    <row r="30" spans="1:5" ht="15.75" customHeight="1" x14ac:dyDescent="0.3">
      <c r="C30" s="282">
        <v>615.71</v>
      </c>
      <c r="D30" s="285">
        <f t="shared" si="0"/>
        <v>1.4487141992116306E-2</v>
      </c>
      <c r="E30" s="284"/>
    </row>
    <row r="31" spans="1:5" ht="15.75" customHeight="1" x14ac:dyDescent="0.3">
      <c r="C31" s="282">
        <v>588.73</v>
      </c>
      <c r="D31" s="285">
        <f t="shared" si="0"/>
        <v>-2.9967005400239371E-2</v>
      </c>
      <c r="E31" s="284"/>
    </row>
    <row r="32" spans="1:5" ht="15.75" customHeight="1" x14ac:dyDescent="0.3">
      <c r="C32" s="282">
        <v>615.49</v>
      </c>
      <c r="D32" s="285">
        <f t="shared" si="0"/>
        <v>1.4124654504113363E-2</v>
      </c>
      <c r="E32" s="284"/>
    </row>
    <row r="33" spans="1:7" ht="15.75" customHeight="1" x14ac:dyDescent="0.3">
      <c r="C33" s="282">
        <v>613.34</v>
      </c>
      <c r="D33" s="285">
        <f t="shared" si="0"/>
        <v>1.0582163144085058E-2</v>
      </c>
      <c r="E33" s="284"/>
    </row>
    <row r="34" spans="1:7" ht="15.75" customHeight="1" x14ac:dyDescent="0.3">
      <c r="C34" s="282">
        <v>612.08000000000004</v>
      </c>
      <c r="D34" s="285">
        <f t="shared" si="0"/>
        <v>8.5060984400684644E-3</v>
      </c>
      <c r="E34" s="284"/>
    </row>
    <row r="35" spans="1:7" ht="15.75" customHeight="1" x14ac:dyDescent="0.3">
      <c r="C35" s="282">
        <v>589.49</v>
      </c>
      <c r="D35" s="285">
        <f t="shared" si="0"/>
        <v>-2.871477589622937E-2</v>
      </c>
      <c r="E35" s="284"/>
    </row>
    <row r="36" spans="1:7" ht="15.75" customHeight="1" x14ac:dyDescent="0.3">
      <c r="C36" s="282">
        <v>623.41</v>
      </c>
      <c r="D36" s="285">
        <f t="shared" si="0"/>
        <v>2.7174204072217694E-2</v>
      </c>
      <c r="E36" s="284"/>
    </row>
    <row r="37" spans="1:7" ht="15.75" customHeight="1" x14ac:dyDescent="0.3">
      <c r="C37" s="282">
        <v>608.6</v>
      </c>
      <c r="D37" s="285">
        <f t="shared" si="0"/>
        <v>2.7722054480225607E-3</v>
      </c>
      <c r="E37" s="284"/>
    </row>
    <row r="38" spans="1:7" ht="15.75" customHeight="1" x14ac:dyDescent="0.3">
      <c r="C38" s="282">
        <v>604.82000000000005</v>
      </c>
      <c r="D38" s="285">
        <f t="shared" si="0"/>
        <v>-3.4559886640272222E-3</v>
      </c>
      <c r="E38" s="284"/>
    </row>
    <row r="39" spans="1:7" ht="15.75" customHeight="1" x14ac:dyDescent="0.3">
      <c r="C39" s="282">
        <v>626.82000000000005</v>
      </c>
      <c r="D39" s="285">
        <f t="shared" si="0"/>
        <v>3.2792760136262783E-2</v>
      </c>
      <c r="E39" s="284"/>
    </row>
    <row r="40" spans="1:7" ht="15.75" customHeight="1" x14ac:dyDescent="0.3">
      <c r="C40" s="282">
        <v>622.22</v>
      </c>
      <c r="D40" s="285">
        <f t="shared" si="0"/>
        <v>2.5213476296202107E-2</v>
      </c>
      <c r="E40" s="284"/>
    </row>
    <row r="41" spans="1:7" ht="15.75" customHeight="1" x14ac:dyDescent="0.3">
      <c r="C41" s="282">
        <v>620.54</v>
      </c>
      <c r="D41" s="285">
        <f t="shared" si="0"/>
        <v>2.2445390024179855E-2</v>
      </c>
      <c r="E41" s="284"/>
    </row>
    <row r="42" spans="1:7" ht="15.75" customHeight="1" x14ac:dyDescent="0.3">
      <c r="C42" s="282">
        <v>579.38</v>
      </c>
      <c r="D42" s="285">
        <f t="shared" si="0"/>
        <v>-4.5372723640362662E-2</v>
      </c>
      <c r="E42" s="284"/>
    </row>
    <row r="43" spans="1:7" ht="16.5" customHeight="1" x14ac:dyDescent="0.3">
      <c r="C43" s="286">
        <v>611.22</v>
      </c>
      <c r="D43" s="287">
        <f t="shared" si="0"/>
        <v>7.0891018960571048E-3</v>
      </c>
      <c r="E43" s="284"/>
    </row>
    <row r="44" spans="1:7" ht="16.5" customHeight="1" x14ac:dyDescent="0.3">
      <c r="C44" s="288"/>
      <c r="D44" s="284"/>
      <c r="E44" s="289"/>
    </row>
    <row r="45" spans="1:7" ht="16.5" customHeight="1" x14ac:dyDescent="0.3">
      <c r="B45" s="290" t="s">
        <v>41</v>
      </c>
      <c r="C45" s="291">
        <f>SUM(C24:C44)</f>
        <v>12138.349999999995</v>
      </c>
      <c r="D45" s="263"/>
      <c r="E45" s="288"/>
    </row>
    <row r="46" spans="1:7" ht="17.25" customHeight="1" x14ac:dyDescent="0.3">
      <c r="B46" s="290" t="s">
        <v>42</v>
      </c>
      <c r="C46" s="54">
        <f>AVERAGE(C24:C44)</f>
        <v>606.91749999999979</v>
      </c>
      <c r="E46" s="43"/>
    </row>
    <row r="47" spans="1:7" ht="17.25" customHeight="1" x14ac:dyDescent="0.3">
      <c r="A47" s="51"/>
      <c r="B47" s="52"/>
      <c r="D47" s="45"/>
      <c r="E47" s="43"/>
    </row>
    <row r="48" spans="1:7" ht="33.75" customHeight="1" x14ac:dyDescent="0.3">
      <c r="B48" s="59" t="s">
        <v>42</v>
      </c>
      <c r="C48" s="55" t="s">
        <v>43</v>
      </c>
      <c r="D48" s="292"/>
      <c r="G48" s="45"/>
    </row>
    <row r="49" spans="1:6" ht="17.25" customHeight="1" x14ac:dyDescent="0.3">
      <c r="B49" s="391">
        <f>C46</f>
        <v>606.91749999999979</v>
      </c>
      <c r="C49" s="60">
        <f>-IF(C46&lt;=80,10%,IF(C46&lt;250,7.5%,5%))</f>
        <v>-0.05</v>
      </c>
      <c r="D49" s="53">
        <f>IF(C46&lt;=80,C46*0.9,IF(C46&lt;250,C46*0.925,C46*0.95))</f>
        <v>576.57162499999981</v>
      </c>
    </row>
    <row r="50" spans="1:6" ht="17.25" customHeight="1" x14ac:dyDescent="0.3">
      <c r="B50" s="392"/>
      <c r="C50" s="61">
        <f>IF(C46&lt;=80, 10%, IF(C46&lt;250, 7.5%, 5%))</f>
        <v>0.05</v>
      </c>
      <c r="D50" s="53">
        <f>IF(C46&lt;=80, C46*1.1, IF(C46&lt;250, C46*1.075, C46*1.05))</f>
        <v>637.26337499999977</v>
      </c>
    </row>
    <row r="51" spans="1:6" ht="16.5" customHeight="1" x14ac:dyDescent="0.3">
      <c r="A51" s="293"/>
      <c r="B51" s="8"/>
      <c r="C51" s="51"/>
      <c r="D51" s="294"/>
      <c r="E51" s="51"/>
      <c r="F51" s="280"/>
    </row>
    <row r="52" spans="1:6" ht="16.5" customHeight="1" x14ac:dyDescent="0.3">
      <c r="A52" s="51"/>
      <c r="B52" s="47" t="s">
        <v>25</v>
      </c>
      <c r="C52" s="47"/>
      <c r="D52" s="48" t="s">
        <v>26</v>
      </c>
      <c r="E52" s="48"/>
      <c r="F52" s="48" t="s">
        <v>27</v>
      </c>
    </row>
    <row r="53" spans="1:6" ht="34.5" customHeight="1" x14ac:dyDescent="0.3">
      <c r="A53" s="250" t="s">
        <v>28</v>
      </c>
      <c r="B53" s="275"/>
      <c r="C53" s="51"/>
      <c r="D53" s="275"/>
      <c r="E53" s="51"/>
      <c r="F53" s="275"/>
    </row>
    <row r="54" spans="1:6" ht="34.5" customHeight="1" x14ac:dyDescent="0.3">
      <c r="A54" s="250" t="s">
        <v>29</v>
      </c>
      <c r="B54" s="50"/>
      <c r="C54" s="51"/>
      <c r="D54" s="50"/>
      <c r="E54" s="51"/>
      <c r="F54" s="50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zoomScale="60" zoomScaleNormal="75" zoomScalePageLayoutView="55" workbookViewId="0">
      <selection activeCell="D24" sqref="D24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27" t="s">
        <v>44</v>
      </c>
      <c r="B1" s="427"/>
      <c r="C1" s="427"/>
      <c r="D1" s="427"/>
      <c r="E1" s="427"/>
      <c r="F1" s="427"/>
      <c r="G1" s="427"/>
      <c r="H1" s="427"/>
    </row>
    <row r="2" spans="1:8" x14ac:dyDescent="0.25">
      <c r="A2" s="427"/>
      <c r="B2" s="427"/>
      <c r="C2" s="427"/>
      <c r="D2" s="427"/>
      <c r="E2" s="427"/>
      <c r="F2" s="427"/>
      <c r="G2" s="427"/>
      <c r="H2" s="427"/>
    </row>
    <row r="3" spans="1:8" x14ac:dyDescent="0.25">
      <c r="A3" s="427"/>
      <c r="B3" s="427"/>
      <c r="C3" s="427"/>
      <c r="D3" s="427"/>
      <c r="E3" s="427"/>
      <c r="F3" s="427"/>
      <c r="G3" s="427"/>
      <c r="H3" s="427"/>
    </row>
    <row r="4" spans="1:8" x14ac:dyDescent="0.25">
      <c r="A4" s="427"/>
      <c r="B4" s="427"/>
      <c r="C4" s="427"/>
      <c r="D4" s="427"/>
      <c r="E4" s="427"/>
      <c r="F4" s="427"/>
      <c r="G4" s="427"/>
      <c r="H4" s="427"/>
    </row>
    <row r="5" spans="1:8" x14ac:dyDescent="0.25">
      <c r="A5" s="427"/>
      <c r="B5" s="427"/>
      <c r="C5" s="427"/>
      <c r="D5" s="427"/>
      <c r="E5" s="427"/>
      <c r="F5" s="427"/>
      <c r="G5" s="427"/>
      <c r="H5" s="427"/>
    </row>
    <row r="6" spans="1:8" x14ac:dyDescent="0.25">
      <c r="A6" s="427"/>
      <c r="B6" s="427"/>
      <c r="C6" s="427"/>
      <c r="D6" s="427"/>
      <c r="E6" s="427"/>
      <c r="F6" s="427"/>
      <c r="G6" s="427"/>
      <c r="H6" s="427"/>
    </row>
    <row r="7" spans="1:8" x14ac:dyDescent="0.25">
      <c r="A7" s="427"/>
      <c r="B7" s="427"/>
      <c r="C7" s="427"/>
      <c r="D7" s="427"/>
      <c r="E7" s="427"/>
      <c r="F7" s="427"/>
      <c r="G7" s="427"/>
      <c r="H7" s="427"/>
    </row>
    <row r="8" spans="1:8" x14ac:dyDescent="0.25">
      <c r="A8" s="428" t="s">
        <v>45</v>
      </c>
      <c r="B8" s="428"/>
      <c r="C8" s="428"/>
      <c r="D8" s="428"/>
      <c r="E8" s="428"/>
      <c r="F8" s="428"/>
      <c r="G8" s="428"/>
      <c r="H8" s="428"/>
    </row>
    <row r="9" spans="1:8" x14ac:dyDescent="0.25">
      <c r="A9" s="428"/>
      <c r="B9" s="428"/>
      <c r="C9" s="428"/>
      <c r="D9" s="428"/>
      <c r="E9" s="428"/>
      <c r="F9" s="428"/>
      <c r="G9" s="428"/>
      <c r="H9" s="428"/>
    </row>
    <row r="10" spans="1:8" x14ac:dyDescent="0.25">
      <c r="A10" s="428"/>
      <c r="B10" s="428"/>
      <c r="C10" s="428"/>
      <c r="D10" s="428"/>
      <c r="E10" s="428"/>
      <c r="F10" s="428"/>
      <c r="G10" s="428"/>
      <c r="H10" s="428"/>
    </row>
    <row r="11" spans="1:8" x14ac:dyDescent="0.25">
      <c r="A11" s="428"/>
      <c r="B11" s="428"/>
      <c r="C11" s="428"/>
      <c r="D11" s="428"/>
      <c r="E11" s="428"/>
      <c r="F11" s="428"/>
      <c r="G11" s="428"/>
      <c r="H11" s="428"/>
    </row>
    <row r="12" spans="1:8" x14ac:dyDescent="0.25">
      <c r="A12" s="428"/>
      <c r="B12" s="428"/>
      <c r="C12" s="428"/>
      <c r="D12" s="428"/>
      <c r="E12" s="428"/>
      <c r="F12" s="428"/>
      <c r="G12" s="428"/>
      <c r="H12" s="428"/>
    </row>
    <row r="13" spans="1:8" x14ac:dyDescent="0.25">
      <c r="A13" s="428"/>
      <c r="B13" s="428"/>
      <c r="C13" s="428"/>
      <c r="D13" s="428"/>
      <c r="E13" s="428"/>
      <c r="F13" s="428"/>
      <c r="G13" s="428"/>
      <c r="H13" s="428"/>
    </row>
    <row r="14" spans="1:8" x14ac:dyDescent="0.25">
      <c r="A14" s="428"/>
      <c r="B14" s="428"/>
      <c r="C14" s="428"/>
      <c r="D14" s="428"/>
      <c r="E14" s="428"/>
      <c r="F14" s="428"/>
      <c r="G14" s="428"/>
      <c r="H14" s="428"/>
    </row>
    <row r="15" spans="1:8" ht="19.5" customHeight="1" x14ac:dyDescent="0.25"/>
    <row r="16" spans="1:8" ht="19.5" customHeight="1" x14ac:dyDescent="0.25">
      <c r="A16" s="429" t="s">
        <v>30</v>
      </c>
      <c r="B16" s="430"/>
      <c r="C16" s="430"/>
      <c r="D16" s="430"/>
      <c r="E16" s="430"/>
      <c r="F16" s="430"/>
      <c r="G16" s="430"/>
      <c r="H16" s="431"/>
    </row>
    <row r="17" spans="1:13" ht="18.75" x14ac:dyDescent="0.3">
      <c r="A17" s="80" t="s">
        <v>46</v>
      </c>
      <c r="B17" s="80"/>
    </row>
    <row r="18" spans="1:13" ht="18.75" x14ac:dyDescent="0.3">
      <c r="A18" s="82" t="s">
        <v>32</v>
      </c>
      <c r="B18" s="433" t="s">
        <v>134</v>
      </c>
      <c r="C18" s="433"/>
      <c r="D18" s="170"/>
      <c r="E18" s="170"/>
    </row>
    <row r="19" spans="1:13" ht="18.75" x14ac:dyDescent="0.3">
      <c r="A19" s="82" t="s">
        <v>33</v>
      </c>
      <c r="B19" s="171" t="s">
        <v>7</v>
      </c>
      <c r="C19" s="247">
        <v>35</v>
      </c>
    </row>
    <row r="20" spans="1:13" ht="18.75" x14ac:dyDescent="0.3">
      <c r="A20" s="82" t="s">
        <v>34</v>
      </c>
      <c r="B20" s="171" t="s">
        <v>136</v>
      </c>
    </row>
    <row r="21" spans="1:13" ht="18.75" x14ac:dyDescent="0.3">
      <c r="A21" s="82" t="s">
        <v>35</v>
      </c>
      <c r="B21" s="193" t="s">
        <v>135</v>
      </c>
      <c r="C21" s="193"/>
      <c r="D21" s="193"/>
      <c r="E21" s="193"/>
      <c r="F21" s="193"/>
      <c r="G21" s="193"/>
      <c r="H21" s="193"/>
    </row>
    <row r="22" spans="1:13" ht="18.75" x14ac:dyDescent="0.3">
      <c r="A22" s="82" t="s">
        <v>36</v>
      </c>
      <c r="B22" s="172" t="s">
        <v>140</v>
      </c>
    </row>
    <row r="23" spans="1:13" ht="18.75" x14ac:dyDescent="0.3">
      <c r="A23" s="82" t="s">
        <v>37</v>
      </c>
      <c r="B23" s="172" t="s">
        <v>141</v>
      </c>
    </row>
    <row r="24" spans="1:13" ht="18.75" x14ac:dyDescent="0.3">
      <c r="A24" s="82"/>
      <c r="B24" s="85"/>
    </row>
    <row r="25" spans="1:13" ht="18.75" x14ac:dyDescent="0.3">
      <c r="A25" s="86" t="s">
        <v>1</v>
      </c>
      <c r="B25" s="85"/>
    </row>
    <row r="26" spans="1:13" ht="26.25" customHeight="1" x14ac:dyDescent="0.4">
      <c r="A26" s="87" t="s">
        <v>4</v>
      </c>
      <c r="B26" s="432" t="s">
        <v>136</v>
      </c>
      <c r="C26" s="432"/>
    </row>
    <row r="27" spans="1:13" ht="26.25" customHeight="1" x14ac:dyDescent="0.4">
      <c r="A27" s="89" t="s">
        <v>47</v>
      </c>
      <c r="B27" s="221" t="s">
        <v>123</v>
      </c>
    </row>
    <row r="28" spans="1:13" ht="27" customHeight="1" x14ac:dyDescent="0.4">
      <c r="A28" s="89" t="s">
        <v>6</v>
      </c>
      <c r="B28" s="222">
        <v>99.8</v>
      </c>
    </row>
    <row r="29" spans="1:13" s="10" customFormat="1" ht="27" customHeight="1" x14ac:dyDescent="0.4">
      <c r="A29" s="89" t="s">
        <v>48</v>
      </c>
      <c r="B29" s="221">
        <v>0</v>
      </c>
      <c r="C29" s="401" t="s">
        <v>49</v>
      </c>
      <c r="D29" s="402"/>
      <c r="E29" s="402"/>
      <c r="F29" s="402"/>
      <c r="G29" s="403"/>
      <c r="I29" s="91"/>
      <c r="J29" s="91"/>
      <c r="K29" s="91"/>
    </row>
    <row r="30" spans="1:13" s="10" customFormat="1" ht="19.5" customHeight="1" x14ac:dyDescent="0.3">
      <c r="A30" s="89" t="s">
        <v>50</v>
      </c>
      <c r="B30" s="88">
        <f>B28-B29</f>
        <v>99.8</v>
      </c>
      <c r="C30" s="92"/>
      <c r="D30" s="92"/>
      <c r="E30" s="92"/>
      <c r="F30" s="92"/>
      <c r="G30" s="93"/>
      <c r="I30" s="91"/>
      <c r="J30" s="91"/>
      <c r="K30" s="91"/>
    </row>
    <row r="31" spans="1:13" s="10" customFormat="1" ht="27" customHeight="1" x14ac:dyDescent="0.4">
      <c r="A31" s="89" t="s">
        <v>51</v>
      </c>
      <c r="B31" s="223">
        <v>1</v>
      </c>
      <c r="C31" s="406" t="s">
        <v>52</v>
      </c>
      <c r="D31" s="407"/>
      <c r="E31" s="407"/>
      <c r="F31" s="407"/>
      <c r="G31" s="407"/>
      <c r="H31" s="408"/>
      <c r="I31" s="91"/>
      <c r="J31" s="91"/>
      <c r="K31" s="91"/>
    </row>
    <row r="32" spans="1:13" s="10" customFormat="1" ht="27" customHeight="1" x14ac:dyDescent="0.4">
      <c r="A32" s="89" t="s">
        <v>53</v>
      </c>
      <c r="B32" s="223">
        <v>1</v>
      </c>
      <c r="C32" s="406" t="s">
        <v>54</v>
      </c>
      <c r="D32" s="407"/>
      <c r="E32" s="407"/>
      <c r="F32" s="407"/>
      <c r="G32" s="407"/>
      <c r="H32" s="408"/>
      <c r="I32" s="91"/>
      <c r="J32" s="91"/>
      <c r="K32" s="95"/>
      <c r="L32" s="95"/>
      <c r="M32" s="96"/>
    </row>
    <row r="33" spans="1:13" s="10" customFormat="1" ht="17.25" customHeight="1" x14ac:dyDescent="0.3">
      <c r="A33" s="89"/>
      <c r="B33" s="94"/>
      <c r="C33" s="97"/>
      <c r="D33" s="97"/>
      <c r="E33" s="97"/>
      <c r="F33" s="97"/>
      <c r="G33" s="97"/>
      <c r="H33" s="97"/>
      <c r="I33" s="91"/>
      <c r="J33" s="91"/>
      <c r="K33" s="95"/>
      <c r="L33" s="95"/>
      <c r="M33" s="96"/>
    </row>
    <row r="34" spans="1:13" s="10" customFormat="1" ht="18.75" x14ac:dyDescent="0.3">
      <c r="A34" s="89" t="s">
        <v>55</v>
      </c>
      <c r="B34" s="98">
        <f>B31/B32</f>
        <v>1</v>
      </c>
      <c r="C34" s="81" t="s">
        <v>56</v>
      </c>
      <c r="D34" s="81"/>
      <c r="E34" s="81"/>
      <c r="F34" s="81"/>
      <c r="G34" s="81"/>
      <c r="I34" s="91"/>
      <c r="J34" s="91"/>
      <c r="K34" s="95"/>
      <c r="L34" s="95"/>
      <c r="M34" s="96"/>
    </row>
    <row r="35" spans="1:13" s="10" customFormat="1" ht="19.5" customHeight="1" x14ac:dyDescent="0.3">
      <c r="A35" s="89"/>
      <c r="B35" s="88"/>
      <c r="G35" s="81"/>
      <c r="I35" s="91"/>
      <c r="J35" s="91"/>
      <c r="K35" s="95"/>
      <c r="L35" s="95"/>
      <c r="M35" s="96"/>
    </row>
    <row r="36" spans="1:13" s="10" customFormat="1" ht="27" customHeight="1" x14ac:dyDescent="0.4">
      <c r="A36" s="99" t="s">
        <v>124</v>
      </c>
      <c r="B36" s="224">
        <v>100</v>
      </c>
      <c r="C36" s="81"/>
      <c r="D36" s="404" t="s">
        <v>58</v>
      </c>
      <c r="E36" s="416"/>
      <c r="F36" s="404" t="s">
        <v>59</v>
      </c>
      <c r="G36" s="405"/>
      <c r="I36" s="91"/>
      <c r="J36" s="91"/>
      <c r="K36" s="95"/>
      <c r="L36" s="95"/>
      <c r="M36" s="96"/>
    </row>
    <row r="37" spans="1:13" s="10" customFormat="1" ht="26.25" customHeight="1" x14ac:dyDescent="0.4">
      <c r="A37" s="100" t="s">
        <v>60</v>
      </c>
      <c r="B37" s="225">
        <v>1</v>
      </c>
      <c r="C37" s="102" t="s">
        <v>125</v>
      </c>
      <c r="D37" s="103" t="s">
        <v>62</v>
      </c>
      <c r="E37" s="160" t="s">
        <v>63</v>
      </c>
      <c r="F37" s="103" t="s">
        <v>62</v>
      </c>
      <c r="G37" s="104" t="s">
        <v>63</v>
      </c>
      <c r="I37" s="91"/>
      <c r="J37" s="91"/>
      <c r="K37" s="95"/>
      <c r="L37" s="95"/>
      <c r="M37" s="96"/>
    </row>
    <row r="38" spans="1:13" s="10" customFormat="1" ht="26.25" customHeight="1" x14ac:dyDescent="0.4">
      <c r="A38" s="100" t="s">
        <v>65</v>
      </c>
      <c r="B38" s="225">
        <v>1</v>
      </c>
      <c r="C38" s="105">
        <v>1</v>
      </c>
      <c r="D38" s="249">
        <v>2006550</v>
      </c>
      <c r="E38" s="173">
        <f>IF(ISBLANK(D38),"-",$D$48/$D$45*D38)</f>
        <v>1703152.1747433878</v>
      </c>
      <c r="F38" s="226">
        <v>1764711</v>
      </c>
      <c r="G38" s="176">
        <f>IF(ISBLANK(F38),"-",$D$48/$F$45*F38)</f>
        <v>1719248.9013028489</v>
      </c>
      <c r="I38" s="91"/>
      <c r="J38" s="91"/>
      <c r="K38" s="95"/>
      <c r="L38" s="95"/>
      <c r="M38" s="96"/>
    </row>
    <row r="39" spans="1:13" s="10" customFormat="1" ht="26.25" customHeight="1" x14ac:dyDescent="0.4">
      <c r="A39" s="100" t="s">
        <v>66</v>
      </c>
      <c r="B39" s="225">
        <v>1</v>
      </c>
      <c r="C39" s="101">
        <v>2</v>
      </c>
      <c r="D39" s="249">
        <v>2015054</v>
      </c>
      <c r="E39" s="174">
        <f>IF(ISBLANK(D39),"-",$D$48/$D$45*D39)</f>
        <v>1710370.3383047334</v>
      </c>
      <c r="F39" s="226">
        <v>1758756</v>
      </c>
      <c r="G39" s="177">
        <f>IF(ISBLANK(F39),"-",$D$48/$F$45*F39)</f>
        <v>1713447.3127100093</v>
      </c>
      <c r="I39" s="91"/>
      <c r="J39" s="91"/>
      <c r="K39" s="95"/>
      <c r="L39" s="95"/>
      <c r="M39" s="96"/>
    </row>
    <row r="40" spans="1:13" ht="26.25" customHeight="1" x14ac:dyDescent="0.4">
      <c r="A40" s="100" t="s">
        <v>67</v>
      </c>
      <c r="B40" s="225">
        <v>1</v>
      </c>
      <c r="C40" s="101">
        <v>3</v>
      </c>
      <c r="D40" s="249">
        <v>2014101</v>
      </c>
      <c r="E40" s="174">
        <f>IF(ISBLANK(D40),"-",$D$48/$D$45*D40)</f>
        <v>1709561.4354503164</v>
      </c>
      <c r="F40" s="226">
        <v>1763067</v>
      </c>
      <c r="G40" s="177">
        <f>IF(ISBLANK(F40),"-",$D$48/$F$45*F40)</f>
        <v>1717647.2536711732</v>
      </c>
      <c r="K40" s="95"/>
      <c r="L40" s="95"/>
      <c r="M40" s="107"/>
    </row>
    <row r="41" spans="1:13" ht="26.25" customHeight="1" x14ac:dyDescent="0.4">
      <c r="A41" s="100" t="s">
        <v>68</v>
      </c>
      <c r="B41" s="225">
        <v>1</v>
      </c>
      <c r="C41" s="108">
        <v>4</v>
      </c>
      <c r="D41" s="228"/>
      <c r="E41" s="175" t="str">
        <f>IF(ISBLANK(D41),"-",$D$48/$D$45*D41)</f>
        <v>-</v>
      </c>
      <c r="F41" s="228"/>
      <c r="G41" s="178" t="str">
        <f>IF(ISBLANK(F41),"-",$D$48/$F$45*F41)</f>
        <v>-</v>
      </c>
      <c r="K41" s="95"/>
      <c r="L41" s="95"/>
      <c r="M41" s="107"/>
    </row>
    <row r="42" spans="1:13" ht="27" customHeight="1" thickBot="1" x14ac:dyDescent="0.45">
      <c r="A42" s="100" t="s">
        <v>69</v>
      </c>
      <c r="B42" s="225">
        <v>1</v>
      </c>
      <c r="C42" s="110" t="s">
        <v>70</v>
      </c>
      <c r="D42" s="111">
        <f>AVERAGE(D38:D41)</f>
        <v>2011901.6666666667</v>
      </c>
      <c r="E42" s="135">
        <f>AVERAGE(E38:E41)</f>
        <v>1707694.649499479</v>
      </c>
      <c r="F42" s="111">
        <f>AVERAGE(F38:F41)</f>
        <v>1762178</v>
      </c>
      <c r="G42" s="112">
        <f>AVERAGE(G38:G41)</f>
        <v>1716781.1558946772</v>
      </c>
      <c r="H42" s="190"/>
    </row>
    <row r="43" spans="1:13" ht="26.25" customHeight="1" x14ac:dyDescent="0.4">
      <c r="A43" s="100" t="s">
        <v>71</v>
      </c>
      <c r="B43" s="222">
        <v>1</v>
      </c>
      <c r="C43" s="204" t="s">
        <v>111</v>
      </c>
      <c r="D43" s="230">
        <v>23.61</v>
      </c>
      <c r="E43" s="219"/>
      <c r="F43" s="230">
        <v>20.57</v>
      </c>
      <c r="G43" s="189"/>
      <c r="H43" s="190"/>
    </row>
    <row r="44" spans="1:13" ht="26.25" customHeight="1" x14ac:dyDescent="0.4">
      <c r="A44" s="100" t="s">
        <v>73</v>
      </c>
      <c r="B44" s="222">
        <v>1</v>
      </c>
      <c r="C44" s="205" t="s">
        <v>112</v>
      </c>
      <c r="D44" s="206">
        <f>D43*$B$34</f>
        <v>23.61</v>
      </c>
      <c r="E44" s="114"/>
      <c r="F44" s="113">
        <f>F43*$B$34</f>
        <v>20.57</v>
      </c>
      <c r="H44" s="190"/>
    </row>
    <row r="45" spans="1:13" ht="19.5" customHeight="1" x14ac:dyDescent="0.3">
      <c r="A45" s="100" t="s">
        <v>75</v>
      </c>
      <c r="B45" s="203">
        <f>(B44/B43)*(B42/B41)*(B40/B39)*(B38/B37)*B36</f>
        <v>100</v>
      </c>
      <c r="C45" s="205" t="s">
        <v>76</v>
      </c>
      <c r="D45" s="207">
        <f>D44*$B$30/100</f>
        <v>23.562779999999997</v>
      </c>
      <c r="E45" s="116"/>
      <c r="F45" s="115">
        <f>F44*$B$30/100</f>
        <v>20.528859999999998</v>
      </c>
      <c r="H45" s="190"/>
    </row>
    <row r="46" spans="1:13" ht="19.5" customHeight="1" x14ac:dyDescent="0.3">
      <c r="A46" s="417" t="s">
        <v>77</v>
      </c>
      <c r="B46" s="421"/>
      <c r="C46" s="205" t="s">
        <v>78</v>
      </c>
      <c r="D46" s="206">
        <f>D45/$B$45</f>
        <v>0.23562779999999997</v>
      </c>
      <c r="E46" s="116"/>
      <c r="F46" s="117">
        <f>F45/$B$45</f>
        <v>0.20528859999999999</v>
      </c>
      <c r="H46" s="190"/>
    </row>
    <row r="47" spans="1:13" ht="27" customHeight="1" x14ac:dyDescent="0.4">
      <c r="A47" s="419"/>
      <c r="B47" s="422"/>
      <c r="C47" s="205" t="s">
        <v>126</v>
      </c>
      <c r="D47" s="231">
        <v>0.2</v>
      </c>
      <c r="F47" s="119"/>
      <c r="H47" s="190"/>
    </row>
    <row r="48" spans="1:13" ht="18.75" x14ac:dyDescent="0.3">
      <c r="C48" s="205" t="s">
        <v>80</v>
      </c>
      <c r="D48" s="206">
        <f>D47*$B$45</f>
        <v>20</v>
      </c>
      <c r="F48" s="119"/>
      <c r="H48" s="190"/>
    </row>
    <row r="49" spans="1:11" ht="19.5" customHeight="1" x14ac:dyDescent="0.3">
      <c r="C49" s="208" t="s">
        <v>81</v>
      </c>
      <c r="D49" s="209">
        <f>D48/B34</f>
        <v>20</v>
      </c>
      <c r="F49" s="122"/>
      <c r="H49" s="190"/>
    </row>
    <row r="50" spans="1:11" ht="18.75" x14ac:dyDescent="0.3">
      <c r="C50" s="210" t="s">
        <v>82</v>
      </c>
      <c r="D50" s="211">
        <f>AVERAGE(E38:E41,G38:G41)</f>
        <v>1712237.902697078</v>
      </c>
      <c r="F50" s="122"/>
      <c r="H50" s="190"/>
    </row>
    <row r="51" spans="1:11" ht="18.75" x14ac:dyDescent="0.3">
      <c r="C51" s="118" t="s">
        <v>83</v>
      </c>
      <c r="D51" s="123">
        <f>STDEV(E38:E41,G38:G41)/D50</f>
        <v>3.4361633811425514E-3</v>
      </c>
      <c r="F51" s="122"/>
    </row>
    <row r="52" spans="1:11" ht="19.5" customHeight="1" x14ac:dyDescent="0.3">
      <c r="C52" s="120" t="s">
        <v>19</v>
      </c>
      <c r="D52" s="124">
        <f>COUNT(E38:E41,G38:G41)</f>
        <v>6</v>
      </c>
      <c r="F52" s="122"/>
    </row>
    <row r="54" spans="1:11" ht="18.75" x14ac:dyDescent="0.3">
      <c r="A54" s="80" t="s">
        <v>1</v>
      </c>
      <c r="B54" s="125" t="s">
        <v>84</v>
      </c>
    </row>
    <row r="55" spans="1:11" ht="18.75" x14ac:dyDescent="0.3">
      <c r="A55" s="81" t="s">
        <v>85</v>
      </c>
      <c r="B55" s="84" t="str">
        <f>B21</f>
        <v>EACH TABLET CONTAINS ARTEMETHER 20MG</v>
      </c>
    </row>
    <row r="56" spans="1:11" ht="26.25" customHeight="1" x14ac:dyDescent="0.4">
      <c r="A56" s="83" t="s">
        <v>86</v>
      </c>
      <c r="B56" s="221">
        <v>20</v>
      </c>
      <c r="C56" s="81" t="str">
        <f>B20</f>
        <v>ARTEMETHER</v>
      </c>
      <c r="H56" s="90"/>
    </row>
    <row r="57" spans="1:11" ht="18.75" x14ac:dyDescent="0.3">
      <c r="A57" s="84" t="s">
        <v>87</v>
      </c>
      <c r="B57" s="248">
        <f>Uniformity!C46</f>
        <v>606.91749999999979</v>
      </c>
      <c r="H57" s="90"/>
    </row>
    <row r="58" spans="1:11" ht="19.5" customHeight="1" x14ac:dyDescent="0.3">
      <c r="H58" s="90"/>
    </row>
    <row r="59" spans="1:11" s="10" customFormat="1" ht="27" customHeight="1" thickBot="1" x14ac:dyDescent="0.45">
      <c r="A59" s="99" t="s">
        <v>127</v>
      </c>
      <c r="B59" s="224">
        <v>50</v>
      </c>
      <c r="C59" s="81"/>
      <c r="D59" s="127" t="s">
        <v>89</v>
      </c>
      <c r="E59" s="126" t="s">
        <v>61</v>
      </c>
      <c r="F59" s="126" t="s">
        <v>62</v>
      </c>
      <c r="G59" s="126" t="s">
        <v>90</v>
      </c>
      <c r="H59" s="102" t="s">
        <v>91</v>
      </c>
      <c r="K59" s="91"/>
    </row>
    <row r="60" spans="1:11" s="10" customFormat="1" ht="22.5" customHeight="1" x14ac:dyDescent="0.4">
      <c r="A60" s="100" t="s">
        <v>120</v>
      </c>
      <c r="B60" s="225">
        <v>1</v>
      </c>
      <c r="C60" s="409" t="s">
        <v>92</v>
      </c>
      <c r="D60" s="413">
        <v>303.56</v>
      </c>
      <c r="E60" s="128">
        <v>1</v>
      </c>
      <c r="F60" s="233">
        <v>1500299</v>
      </c>
      <c r="G60" s="73">
        <f>IF(ISBLANK(F60),"-",(F60/$D$50*$D$47*$B$68)*($B$57/$D$60))</f>
        <v>17.518577120101643</v>
      </c>
      <c r="H60" s="386">
        <f>IF(ISBLANK(F60),"-",G60/$B$56)</f>
        <v>0.87592885600508219</v>
      </c>
      <c r="K60" s="91"/>
    </row>
    <row r="61" spans="1:11" s="10" customFormat="1" ht="26.25" customHeight="1" x14ac:dyDescent="0.4">
      <c r="A61" s="100" t="s">
        <v>93</v>
      </c>
      <c r="B61" s="225">
        <v>1</v>
      </c>
      <c r="C61" s="410"/>
      <c r="D61" s="414"/>
      <c r="E61" s="129">
        <v>2</v>
      </c>
      <c r="F61" s="227">
        <v>1498015</v>
      </c>
      <c r="G61" s="74">
        <f>IF(ISBLANK(F61),"-",(F61/$D$50*$D$47*$B$68)*($B$57/$D$60))</f>
        <v>17.491907482821134</v>
      </c>
      <c r="H61" s="387">
        <f>IF(ISBLANK(F61),"-",G61/$B$56)</f>
        <v>0.8745953741410567</v>
      </c>
      <c r="K61" s="91"/>
    </row>
    <row r="62" spans="1:11" s="10" customFormat="1" ht="26.25" customHeight="1" x14ac:dyDescent="0.4">
      <c r="A62" s="100" t="s">
        <v>94</v>
      </c>
      <c r="B62" s="225">
        <v>1</v>
      </c>
      <c r="C62" s="410"/>
      <c r="D62" s="414"/>
      <c r="E62" s="129">
        <v>3</v>
      </c>
      <c r="F62" s="68">
        <v>1494316</v>
      </c>
      <c r="G62" s="74">
        <f>IF(ISBLANK(F62),"-",(F62/$D$50*$D$47*$B$68)*($B$57/$D$60))</f>
        <v>17.448715281288468</v>
      </c>
      <c r="H62" s="387">
        <f>IF(ISBLANK(F62),"-",G62/$B$56)</f>
        <v>0.87243576406442336</v>
      </c>
      <c r="K62" s="91"/>
    </row>
    <row r="63" spans="1:11" ht="21" customHeight="1" thickBot="1" x14ac:dyDescent="0.45">
      <c r="A63" s="100" t="s">
        <v>95</v>
      </c>
      <c r="B63" s="225">
        <v>1</v>
      </c>
      <c r="C63" s="411"/>
      <c r="D63" s="415"/>
      <c r="E63" s="130">
        <v>4</v>
      </c>
      <c r="F63" s="234"/>
      <c r="G63" s="74" t="str">
        <f>IF(ISBLANK(F63),"-",(F63/$D$50*$D$47*$B$68)*($B$57/$D$60))</f>
        <v>-</v>
      </c>
      <c r="H63" s="164" t="str">
        <f t="shared" ref="H63:H71" si="0">IF(ISBLANK(F63),"-",G63/$B$56)</f>
        <v>-</v>
      </c>
    </row>
    <row r="64" spans="1:11" ht="26.25" customHeight="1" x14ac:dyDescent="0.4">
      <c r="A64" s="100" t="s">
        <v>96</v>
      </c>
      <c r="B64" s="225">
        <v>1</v>
      </c>
      <c r="C64" s="409" t="s">
        <v>97</v>
      </c>
      <c r="D64" s="413">
        <v>298</v>
      </c>
      <c r="E64" s="128">
        <v>1</v>
      </c>
      <c r="F64" s="233">
        <v>1660262</v>
      </c>
      <c r="G64" s="75">
        <f>IF(ISBLANK(F64),"-",(F64/$D$50*$D$47*$B$68)*($B$57/$D$64))</f>
        <v>19.748127274299932</v>
      </c>
      <c r="H64" s="186">
        <f t="shared" si="0"/>
        <v>0.98740636371499657</v>
      </c>
    </row>
    <row r="65" spans="1:8" ht="26.25" customHeight="1" x14ac:dyDescent="0.4">
      <c r="A65" s="100" t="s">
        <v>98</v>
      </c>
      <c r="B65" s="225">
        <v>1</v>
      </c>
      <c r="C65" s="410"/>
      <c r="D65" s="414"/>
      <c r="E65" s="129">
        <v>2</v>
      </c>
      <c r="F65" s="227">
        <v>1660048</v>
      </c>
      <c r="G65" s="76">
        <f>IF(ISBLANK(F65),"-",(F65/$D$50*$D$47*$B$68)*($B$57/$D$64))</f>
        <v>19.745581833136605</v>
      </c>
      <c r="H65" s="187">
        <f t="shared" si="0"/>
        <v>0.98727909165683025</v>
      </c>
    </row>
    <row r="66" spans="1:8" ht="26.25" customHeight="1" x14ac:dyDescent="0.4">
      <c r="A66" s="100" t="s">
        <v>99</v>
      </c>
      <c r="B66" s="225">
        <v>1</v>
      </c>
      <c r="C66" s="410"/>
      <c r="D66" s="414"/>
      <c r="E66" s="129">
        <v>3</v>
      </c>
      <c r="F66" s="227">
        <v>1672067</v>
      </c>
      <c r="G66" s="76">
        <f>IF(ISBLANK(F66),"-",(F66/$D$50*$D$47*$B$68)*($B$57/$D$64))</f>
        <v>19.888542848753303</v>
      </c>
      <c r="H66" s="187">
        <f t="shared" si="0"/>
        <v>0.99442714243766517</v>
      </c>
    </row>
    <row r="67" spans="1:8" ht="21" customHeight="1" thickBot="1" x14ac:dyDescent="0.45">
      <c r="A67" s="100" t="s">
        <v>100</v>
      </c>
      <c r="B67" s="225">
        <v>1</v>
      </c>
      <c r="C67" s="411"/>
      <c r="D67" s="415"/>
      <c r="E67" s="130">
        <v>4</v>
      </c>
      <c r="F67" s="234"/>
      <c r="G67" s="77" t="str">
        <f>IF(ISBLANK(F67),"-",(F67/$D$50*$D$47*$B$68)*($B$57/$D$64))</f>
        <v>-</v>
      </c>
      <c r="H67" s="188" t="str">
        <f t="shared" si="0"/>
        <v>-</v>
      </c>
    </row>
    <row r="68" spans="1:8" ht="21.75" customHeight="1" x14ac:dyDescent="0.4">
      <c r="A68" s="100" t="s">
        <v>101</v>
      </c>
      <c r="B68" s="195">
        <f>(B67/B66)*(B65/B64)*(B63/B62)*(B61/B60)*B59</f>
        <v>50</v>
      </c>
      <c r="C68" s="409" t="s">
        <v>102</v>
      </c>
      <c r="D68" s="413">
        <v>307.04000000000002</v>
      </c>
      <c r="E68" s="128">
        <v>1</v>
      </c>
      <c r="F68" s="233">
        <v>1747000</v>
      </c>
      <c r="G68" s="75">
        <f>IF(ISBLANK(F68),"-",(F68/$D$50*$D$47*$B$68)*($B$57/$D$68))</f>
        <v>20.168031050060865</v>
      </c>
      <c r="H68" s="164">
        <f t="shared" si="0"/>
        <v>1.0084015525030432</v>
      </c>
    </row>
    <row r="69" spans="1:8" ht="21.75" customHeight="1" thickBot="1" x14ac:dyDescent="0.45">
      <c r="A69" s="212" t="s">
        <v>103</v>
      </c>
      <c r="B69" s="232">
        <f>D47*B68/B56*B57</f>
        <v>303.4587499999999</v>
      </c>
      <c r="C69" s="410"/>
      <c r="D69" s="414"/>
      <c r="E69" s="129">
        <v>2</v>
      </c>
      <c r="F69" s="227">
        <v>1759887</v>
      </c>
      <c r="G69" s="76">
        <f>IF(ISBLANK(F69),"-",(F69/$D$50*$D$47*$B$68)*($B$57/$D$68))</f>
        <v>20.316803469146233</v>
      </c>
      <c r="H69" s="164">
        <f t="shared" si="0"/>
        <v>1.0158401734573117</v>
      </c>
    </row>
    <row r="70" spans="1:8" ht="22.5" customHeight="1" x14ac:dyDescent="0.4">
      <c r="A70" s="423" t="s">
        <v>77</v>
      </c>
      <c r="B70" s="424"/>
      <c r="C70" s="410"/>
      <c r="D70" s="414"/>
      <c r="E70" s="129">
        <v>3</v>
      </c>
      <c r="F70" s="227">
        <v>1773367</v>
      </c>
      <c r="G70" s="76">
        <f>IF(ISBLANK(F70),"-",(F70/$D$50*$D$47*$B$68)*($B$57/$D$68))</f>
        <v>20.472421705296675</v>
      </c>
      <c r="H70" s="164">
        <f t="shared" si="0"/>
        <v>1.0236210852648338</v>
      </c>
    </row>
    <row r="71" spans="1:8" ht="21.75" customHeight="1" thickBot="1" x14ac:dyDescent="0.45">
      <c r="A71" s="425"/>
      <c r="B71" s="426"/>
      <c r="C71" s="412"/>
      <c r="D71" s="415"/>
      <c r="E71" s="130">
        <v>4</v>
      </c>
      <c r="F71" s="234"/>
      <c r="G71" s="77" t="str">
        <f>IF(ISBLANK(F71),"-",(F71/$D$50*$D$47*$B$68)*($B$57/$D$68))</f>
        <v>-</v>
      </c>
      <c r="H71" s="165" t="str">
        <f t="shared" si="0"/>
        <v>-</v>
      </c>
    </row>
    <row r="72" spans="1:8" ht="26.25" customHeight="1" x14ac:dyDescent="0.4">
      <c r="A72" s="131"/>
      <c r="B72" s="131"/>
      <c r="C72" s="131"/>
      <c r="D72" s="131"/>
      <c r="E72" s="131"/>
      <c r="F72" s="132"/>
      <c r="G72" s="121" t="s">
        <v>70</v>
      </c>
      <c r="H72" s="235">
        <f>AVERAGE(H64:H71)</f>
        <v>1.0028292348391135</v>
      </c>
    </row>
    <row r="73" spans="1:8" ht="26.25" customHeight="1" x14ac:dyDescent="0.4">
      <c r="C73" s="131"/>
      <c r="D73" s="131"/>
      <c r="E73" s="131"/>
      <c r="F73" s="132"/>
      <c r="G73" s="118" t="s">
        <v>83</v>
      </c>
      <c r="H73" s="236">
        <f>STDEV(H64:H71)/H72</f>
        <v>1.5337784923339069E-2</v>
      </c>
    </row>
    <row r="74" spans="1:8" ht="27" customHeight="1" x14ac:dyDescent="0.4">
      <c r="A74" s="131"/>
      <c r="B74" s="131"/>
      <c r="C74" s="132"/>
      <c r="D74" s="132"/>
      <c r="E74" s="133"/>
      <c r="F74" s="132" t="s">
        <v>137</v>
      </c>
      <c r="G74" s="120" t="s">
        <v>19</v>
      </c>
      <c r="H74" s="237">
        <f>COUNT(H64:H71)</f>
        <v>6</v>
      </c>
    </row>
    <row r="75" spans="1:8" ht="18.75" x14ac:dyDescent="0.3">
      <c r="A75" s="131"/>
      <c r="B75" s="131"/>
      <c r="C75" s="132"/>
      <c r="D75" s="132"/>
      <c r="E75" s="133"/>
      <c r="F75" s="132"/>
      <c r="G75" s="153"/>
      <c r="H75" s="202"/>
    </row>
    <row r="76" spans="1:8" ht="18.75" x14ac:dyDescent="0.3">
      <c r="A76" s="87" t="s">
        <v>128</v>
      </c>
      <c r="B76" s="218" t="s">
        <v>121</v>
      </c>
      <c r="C76" s="399" t="str">
        <f>B20</f>
        <v>ARTEMETHER</v>
      </c>
      <c r="D76" s="399"/>
      <c r="E76" s="219" t="s">
        <v>106</v>
      </c>
      <c r="F76" s="219"/>
      <c r="G76" s="220">
        <f>H72</f>
        <v>1.0028292348391135</v>
      </c>
      <c r="H76" s="202"/>
    </row>
    <row r="77" spans="1:8" ht="18.75" x14ac:dyDescent="0.3">
      <c r="A77" s="131"/>
      <c r="B77" s="131"/>
      <c r="C77" s="132"/>
      <c r="D77" s="132"/>
      <c r="E77" s="133"/>
      <c r="F77" s="132"/>
      <c r="G77" s="153"/>
      <c r="H77" s="202"/>
    </row>
    <row r="78" spans="1:8" ht="26.25" customHeight="1" x14ac:dyDescent="0.4">
      <c r="A78" s="86" t="s">
        <v>129</v>
      </c>
      <c r="B78" s="86" t="s">
        <v>130</v>
      </c>
      <c r="D78" s="241" t="s">
        <v>131</v>
      </c>
    </row>
    <row r="79" spans="1:8" ht="18.75" x14ac:dyDescent="0.3">
      <c r="A79" s="86"/>
      <c r="B79" s="86"/>
    </row>
    <row r="80" spans="1:8" ht="26.25" customHeight="1" x14ac:dyDescent="0.4">
      <c r="A80" s="87" t="s">
        <v>4</v>
      </c>
      <c r="B80" s="432" t="str">
        <f>B26</f>
        <v>ARTEMETHER</v>
      </c>
      <c r="C80" s="432"/>
    </row>
    <row r="81" spans="1:11" ht="26.25" customHeight="1" x14ac:dyDescent="0.4">
      <c r="A81" s="89" t="s">
        <v>47</v>
      </c>
      <c r="B81" s="221" t="str">
        <f>B27</f>
        <v>F0J018</v>
      </c>
    </row>
    <row r="82" spans="1:11" ht="27" customHeight="1" x14ac:dyDescent="0.4">
      <c r="A82" s="89" t="s">
        <v>6</v>
      </c>
      <c r="B82" s="221">
        <f>B28</f>
        <v>99.8</v>
      </c>
    </row>
    <row r="83" spans="1:11" s="10" customFormat="1" ht="27" customHeight="1" x14ac:dyDescent="0.4">
      <c r="A83" s="89" t="s">
        <v>48</v>
      </c>
      <c r="B83" s="221">
        <f>B29</f>
        <v>0</v>
      </c>
      <c r="C83" s="401" t="s">
        <v>49</v>
      </c>
      <c r="D83" s="402"/>
      <c r="E83" s="402"/>
      <c r="F83" s="402"/>
      <c r="G83" s="403"/>
      <c r="I83" s="91"/>
      <c r="J83" s="91"/>
      <c r="K83" s="91"/>
    </row>
    <row r="84" spans="1:11" s="10" customFormat="1" ht="19.5" customHeight="1" x14ac:dyDescent="0.3">
      <c r="A84" s="89" t="s">
        <v>50</v>
      </c>
      <c r="B84" s="88">
        <f>B82-B83</f>
        <v>99.8</v>
      </c>
      <c r="C84" s="92"/>
      <c r="D84" s="92"/>
      <c r="E84" s="92"/>
      <c r="F84" s="92"/>
      <c r="G84" s="93"/>
      <c r="I84" s="91"/>
      <c r="J84" s="91"/>
      <c r="K84" s="91"/>
    </row>
    <row r="85" spans="1:11" s="10" customFormat="1" ht="27" customHeight="1" x14ac:dyDescent="0.4">
      <c r="A85" s="89" t="s">
        <v>51</v>
      </c>
      <c r="B85" s="223">
        <v>1</v>
      </c>
      <c r="C85" s="406" t="s">
        <v>52</v>
      </c>
      <c r="D85" s="407"/>
      <c r="E85" s="407"/>
      <c r="F85" s="407"/>
      <c r="G85" s="407"/>
      <c r="H85" s="408"/>
      <c r="I85" s="91"/>
      <c r="J85" s="91"/>
      <c r="K85" s="91"/>
    </row>
    <row r="86" spans="1:11" s="10" customFormat="1" ht="27" customHeight="1" x14ac:dyDescent="0.4">
      <c r="A86" s="89" t="s">
        <v>53</v>
      </c>
      <c r="B86" s="223">
        <v>1</v>
      </c>
      <c r="C86" s="406" t="s">
        <v>54</v>
      </c>
      <c r="D86" s="407"/>
      <c r="E86" s="407"/>
      <c r="F86" s="407"/>
      <c r="G86" s="407"/>
      <c r="H86" s="408"/>
      <c r="I86" s="91"/>
      <c r="J86" s="91"/>
      <c r="K86" s="91"/>
    </row>
    <row r="87" spans="1:11" s="10" customFormat="1" ht="18.75" x14ac:dyDescent="0.3">
      <c r="A87" s="89"/>
      <c r="B87" s="88"/>
      <c r="C87" s="92"/>
      <c r="D87" s="92"/>
      <c r="E87" s="92"/>
      <c r="F87" s="92"/>
      <c r="G87" s="93"/>
      <c r="I87" s="91"/>
      <c r="J87" s="91"/>
      <c r="K87" s="91"/>
    </row>
    <row r="88" spans="1:11" s="10" customFormat="1" ht="18.75" x14ac:dyDescent="0.3">
      <c r="A88" s="89" t="s">
        <v>55</v>
      </c>
      <c r="B88" s="98">
        <f>B85/B86</f>
        <v>1</v>
      </c>
      <c r="C88" s="81" t="s">
        <v>56</v>
      </c>
      <c r="D88" s="92"/>
      <c r="E88" s="92"/>
      <c r="F88" s="92"/>
      <c r="G88" s="93"/>
      <c r="I88" s="91"/>
      <c r="J88" s="91"/>
      <c r="K88" s="91"/>
    </row>
    <row r="89" spans="1:11" ht="19.5" customHeight="1" x14ac:dyDescent="0.3">
      <c r="A89" s="86"/>
      <c r="B89" s="86"/>
    </row>
    <row r="90" spans="1:11" ht="27" customHeight="1" x14ac:dyDescent="0.4">
      <c r="A90" s="99" t="s">
        <v>124</v>
      </c>
      <c r="B90" s="224">
        <v>100</v>
      </c>
      <c r="D90" s="162" t="s">
        <v>58</v>
      </c>
      <c r="E90" s="163"/>
      <c r="F90" s="404" t="s">
        <v>59</v>
      </c>
      <c r="G90" s="405"/>
    </row>
    <row r="91" spans="1:11" ht="26.25" customHeight="1" x14ac:dyDescent="0.4">
      <c r="A91" s="100" t="s">
        <v>60</v>
      </c>
      <c r="B91" s="225">
        <v>5</v>
      </c>
      <c r="C91" s="159" t="s">
        <v>125</v>
      </c>
      <c r="D91" s="103" t="s">
        <v>62</v>
      </c>
      <c r="E91" s="160" t="s">
        <v>63</v>
      </c>
      <c r="F91" s="103" t="s">
        <v>62</v>
      </c>
      <c r="G91" s="104" t="s">
        <v>63</v>
      </c>
    </row>
    <row r="92" spans="1:11" ht="26.25" customHeight="1" x14ac:dyDescent="0.4">
      <c r="A92" s="100" t="s">
        <v>65</v>
      </c>
      <c r="B92" s="225">
        <v>50</v>
      </c>
      <c r="C92" s="157">
        <v>1</v>
      </c>
      <c r="D92" s="226">
        <v>1591675</v>
      </c>
      <c r="E92" s="173">
        <f>IF(ISBLANK(D92),"-",$D$102/$D$99*D92)</f>
        <v>1333498.9376746807</v>
      </c>
      <c r="F92" s="226">
        <v>1387513</v>
      </c>
      <c r="G92" s="176">
        <f>IF(ISBLANK(F92),"-",$D$102/$F$99*F92)</f>
        <v>1324719.9496658875</v>
      </c>
    </row>
    <row r="93" spans="1:11" ht="26.25" customHeight="1" x14ac:dyDescent="0.4">
      <c r="A93" s="100" t="s">
        <v>66</v>
      </c>
      <c r="B93" s="225">
        <v>1</v>
      </c>
      <c r="C93" s="132">
        <v>2</v>
      </c>
      <c r="D93" s="227">
        <v>1585029</v>
      </c>
      <c r="E93" s="174">
        <f>IF(ISBLANK(D93),"-",$D$102/$D$99*D93)</f>
        <v>1327930.9455030465</v>
      </c>
      <c r="F93" s="227">
        <v>1383775</v>
      </c>
      <c r="G93" s="177">
        <f>IF(ISBLANK(F93),"-",$D$102/$F$99*F93)</f>
        <v>1321151.1159527251</v>
      </c>
    </row>
    <row r="94" spans="1:11" ht="26.25" customHeight="1" x14ac:dyDescent="0.4">
      <c r="A94" s="100" t="s">
        <v>67</v>
      </c>
      <c r="B94" s="225">
        <v>1</v>
      </c>
      <c r="C94" s="132">
        <v>3</v>
      </c>
      <c r="D94" s="227">
        <v>1583369</v>
      </c>
      <c r="E94" s="174">
        <f>IF(ISBLANK(D94),"-",$D$102/$D$99*D94)</f>
        <v>1326540.204154128</v>
      </c>
      <c r="F94" s="227">
        <v>1383653</v>
      </c>
      <c r="G94" s="177">
        <f>IF(ISBLANK(F94),"-",$D$102/$F$99*F94)</f>
        <v>1321034.637163799</v>
      </c>
    </row>
    <row r="95" spans="1:11" ht="26.25" customHeight="1" x14ac:dyDescent="0.4">
      <c r="A95" s="100" t="s">
        <v>68</v>
      </c>
      <c r="B95" s="225">
        <v>1</v>
      </c>
      <c r="C95" s="161">
        <v>4</v>
      </c>
      <c r="D95" s="228"/>
      <c r="E95" s="175" t="str">
        <f>IF(ISBLANK(D95),"-",$D$102/$D$99*D95)</f>
        <v>-</v>
      </c>
      <c r="F95" s="238"/>
      <c r="G95" s="178" t="str">
        <f>IF(ISBLANK(F95),"-",$D$102/$F$99*F95)</f>
        <v>-</v>
      </c>
    </row>
    <row r="96" spans="1:11" ht="27" customHeight="1" x14ac:dyDescent="0.4">
      <c r="A96" s="100" t="s">
        <v>69</v>
      </c>
      <c r="B96" s="225">
        <v>1</v>
      </c>
      <c r="C96" s="153" t="s">
        <v>70</v>
      </c>
      <c r="D96" s="213">
        <f>AVERAGE(D92:D95)</f>
        <v>1586691</v>
      </c>
      <c r="E96" s="135">
        <f>AVERAGE(E92:E95)</f>
        <v>1329323.3624439519</v>
      </c>
      <c r="F96" s="158">
        <f>AVERAGE(F92:F95)</f>
        <v>1384980.3333333333</v>
      </c>
      <c r="G96" s="179">
        <f>AVERAGE(G92:G95)</f>
        <v>1322301.9009274708</v>
      </c>
    </row>
    <row r="97" spans="1:9" ht="26.25" customHeight="1" x14ac:dyDescent="0.4">
      <c r="A97" s="100" t="s">
        <v>71</v>
      </c>
      <c r="B97" s="222">
        <v>1</v>
      </c>
      <c r="C97" s="204" t="s">
        <v>111</v>
      </c>
      <c r="D97" s="229">
        <v>23.92</v>
      </c>
      <c r="E97" s="219"/>
      <c r="F97" s="230">
        <v>20.99</v>
      </c>
      <c r="G97" s="189"/>
    </row>
    <row r="98" spans="1:9" ht="26.25" customHeight="1" x14ac:dyDescent="0.4">
      <c r="A98" s="100" t="s">
        <v>73</v>
      </c>
      <c r="B98" s="222">
        <v>1</v>
      </c>
      <c r="C98" s="205" t="s">
        <v>112</v>
      </c>
      <c r="D98" s="206">
        <f>D97*B88</f>
        <v>23.92</v>
      </c>
      <c r="E98" s="114"/>
      <c r="F98" s="113">
        <f>F97*B88</f>
        <v>20.99</v>
      </c>
    </row>
    <row r="99" spans="1:9" ht="19.5" customHeight="1" x14ac:dyDescent="0.3">
      <c r="A99" s="100" t="s">
        <v>75</v>
      </c>
      <c r="B99" s="203">
        <f>(B98/B97)*(B96/B95)*(B94/B93)*(B92/B91)*B90</f>
        <v>1000</v>
      </c>
      <c r="C99" s="205" t="s">
        <v>76</v>
      </c>
      <c r="D99" s="207">
        <f>D98*$B$84/100</f>
        <v>23.872159999999997</v>
      </c>
      <c r="E99" s="116"/>
      <c r="F99" s="115">
        <f>F98*$B$84/100</f>
        <v>20.948019999999996</v>
      </c>
    </row>
    <row r="100" spans="1:9" ht="19.5" customHeight="1" x14ac:dyDescent="0.3">
      <c r="A100" s="417" t="s">
        <v>77</v>
      </c>
      <c r="B100" s="421"/>
      <c r="C100" s="205" t="s">
        <v>78</v>
      </c>
      <c r="D100" s="206">
        <f>D99/$B$99</f>
        <v>2.3872159999999996E-2</v>
      </c>
      <c r="E100" s="116"/>
      <c r="F100" s="117">
        <f>F99/$B$99</f>
        <v>2.0948019999999998E-2</v>
      </c>
      <c r="G100" s="189"/>
      <c r="H100" s="190"/>
    </row>
    <row r="101" spans="1:9" ht="19.5" customHeight="1" x14ac:dyDescent="0.3">
      <c r="A101" s="419"/>
      <c r="B101" s="422"/>
      <c r="C101" s="205" t="s">
        <v>126</v>
      </c>
      <c r="D101" s="214">
        <f>$B$56/$B$117</f>
        <v>0.02</v>
      </c>
      <c r="F101" s="119"/>
      <c r="G101" s="191"/>
      <c r="H101" s="190"/>
    </row>
    <row r="102" spans="1:9" ht="18.75" x14ac:dyDescent="0.3">
      <c r="C102" s="205" t="s">
        <v>80</v>
      </c>
      <c r="D102" s="206">
        <f>D101*$B$99</f>
        <v>20</v>
      </c>
      <c r="F102" s="119"/>
      <c r="G102" s="189"/>
      <c r="H102" s="190"/>
    </row>
    <row r="103" spans="1:9" ht="19.5" customHeight="1" x14ac:dyDescent="0.3">
      <c r="C103" s="208" t="s">
        <v>81</v>
      </c>
      <c r="D103" s="215">
        <f>D102/B34</f>
        <v>20</v>
      </c>
      <c r="F103" s="122"/>
      <c r="G103" s="189"/>
      <c r="H103" s="190"/>
      <c r="I103" s="136"/>
    </row>
    <row r="104" spans="1:9" ht="18.75" x14ac:dyDescent="0.3">
      <c r="C104" s="210" t="s">
        <v>115</v>
      </c>
      <c r="D104" s="211">
        <f>AVERAGE(E92:E95,G92:G95)</f>
        <v>1325812.6316857112</v>
      </c>
      <c r="F104" s="122"/>
      <c r="G104" s="192"/>
      <c r="H104" s="190"/>
      <c r="I104" s="138"/>
    </row>
    <row r="105" spans="1:9" ht="18.75" x14ac:dyDescent="0.3">
      <c r="C105" s="118" t="s">
        <v>83</v>
      </c>
      <c r="D105" s="137">
        <f>STDEV(E92:E95,G92:G95)/D104</f>
        <v>3.5353349130577199E-3</v>
      </c>
      <c r="F105" s="122"/>
      <c r="G105" s="189"/>
      <c r="H105" s="190"/>
      <c r="I105" s="138"/>
    </row>
    <row r="106" spans="1:9" ht="19.5" customHeight="1" x14ac:dyDescent="0.3">
      <c r="C106" s="120" t="s">
        <v>19</v>
      </c>
      <c r="D106" s="139">
        <f>COUNT(E92:E95,G92:G95)</f>
        <v>6</v>
      </c>
      <c r="F106" s="122"/>
      <c r="G106" s="189"/>
      <c r="H106" s="190"/>
      <c r="I106" s="138"/>
    </row>
    <row r="107" spans="1:9" ht="19.5" customHeight="1" x14ac:dyDescent="0.3">
      <c r="A107" s="80"/>
      <c r="B107" s="80"/>
      <c r="C107" s="80"/>
      <c r="D107" s="80"/>
      <c r="E107" s="80"/>
    </row>
    <row r="108" spans="1:9" ht="26.25" customHeight="1" x14ac:dyDescent="0.4">
      <c r="A108" s="99" t="s">
        <v>116</v>
      </c>
      <c r="B108" s="224">
        <v>1000</v>
      </c>
      <c r="C108" s="140" t="s">
        <v>132</v>
      </c>
      <c r="D108" s="141" t="s">
        <v>62</v>
      </c>
      <c r="E108" s="142" t="s">
        <v>118</v>
      </c>
      <c r="F108" s="143" t="s">
        <v>119</v>
      </c>
    </row>
    <row r="109" spans="1:9" ht="26.25" customHeight="1" x14ac:dyDescent="0.4">
      <c r="A109" s="100" t="s">
        <v>120</v>
      </c>
      <c r="B109" s="225">
        <v>1</v>
      </c>
      <c r="C109" s="106">
        <v>1</v>
      </c>
      <c r="D109" s="239">
        <v>835762</v>
      </c>
      <c r="E109" s="144">
        <f t="shared" ref="E109:E114" si="1">IF(ISBLANK(D109),"-",D109/$D$104*$D$101*$B$117)</f>
        <v>12.607543178063798</v>
      </c>
      <c r="F109" s="145">
        <f t="shared" ref="F109:F114" si="2">IF(ISBLANK(D109), "-", E109/$B$56)</f>
        <v>0.6303771589031899</v>
      </c>
    </row>
    <row r="110" spans="1:9" ht="26.25" customHeight="1" x14ac:dyDescent="0.4">
      <c r="A110" s="100" t="s">
        <v>93</v>
      </c>
      <c r="B110" s="225">
        <v>1</v>
      </c>
      <c r="C110" s="106">
        <v>2</v>
      </c>
      <c r="D110" s="239">
        <v>745903</v>
      </c>
      <c r="E110" s="146">
        <f t="shared" si="1"/>
        <v>11.252012270415886</v>
      </c>
      <c r="F110" s="166">
        <f t="shared" si="2"/>
        <v>0.56260061352079427</v>
      </c>
    </row>
    <row r="111" spans="1:9" ht="26.25" customHeight="1" x14ac:dyDescent="0.4">
      <c r="A111" s="100" t="s">
        <v>94</v>
      </c>
      <c r="B111" s="225">
        <v>1</v>
      </c>
      <c r="C111" s="106">
        <v>3</v>
      </c>
      <c r="D111" s="239">
        <v>771935</v>
      </c>
      <c r="E111" s="146">
        <f t="shared" si="1"/>
        <v>11.64470727690261</v>
      </c>
      <c r="F111" s="166">
        <f t="shared" si="2"/>
        <v>0.58223536384513053</v>
      </c>
    </row>
    <row r="112" spans="1:9" ht="26.25" customHeight="1" x14ac:dyDescent="0.4">
      <c r="A112" s="100" t="s">
        <v>95</v>
      </c>
      <c r="B112" s="225">
        <v>1</v>
      </c>
      <c r="C112" s="106">
        <v>4</v>
      </c>
      <c r="D112" s="239">
        <v>658586</v>
      </c>
      <c r="E112" s="146">
        <f t="shared" si="1"/>
        <v>9.9348276560412234</v>
      </c>
      <c r="F112" s="166">
        <f t="shared" si="2"/>
        <v>0.49674138280206115</v>
      </c>
    </row>
    <row r="113" spans="1:9" ht="26.25" customHeight="1" x14ac:dyDescent="0.4">
      <c r="A113" s="100" t="s">
        <v>96</v>
      </c>
      <c r="B113" s="225">
        <v>1</v>
      </c>
      <c r="C113" s="106">
        <v>5</v>
      </c>
      <c r="D113" s="239">
        <v>728635</v>
      </c>
      <c r="E113" s="146">
        <f t="shared" si="1"/>
        <v>10.991522973703658</v>
      </c>
      <c r="F113" s="166">
        <f t="shared" si="2"/>
        <v>0.5495761486851829</v>
      </c>
    </row>
    <row r="114" spans="1:9" ht="26.25" customHeight="1" x14ac:dyDescent="0.4">
      <c r="A114" s="100" t="s">
        <v>98</v>
      </c>
      <c r="B114" s="225">
        <v>1</v>
      </c>
      <c r="C114" s="109">
        <v>6</v>
      </c>
      <c r="D114" s="240">
        <v>542896</v>
      </c>
      <c r="E114" s="147">
        <f t="shared" si="1"/>
        <v>8.1896338445611594</v>
      </c>
      <c r="F114" s="167">
        <f t="shared" si="2"/>
        <v>0.40948169222805797</v>
      </c>
    </row>
    <row r="115" spans="1:9" ht="26.25" customHeight="1" x14ac:dyDescent="0.4">
      <c r="A115" s="100" t="s">
        <v>99</v>
      </c>
      <c r="B115" s="225">
        <v>1</v>
      </c>
      <c r="C115" s="106"/>
      <c r="D115" s="132"/>
      <c r="E115" s="134"/>
      <c r="F115" s="148"/>
    </row>
    <row r="116" spans="1:9" ht="26.25" customHeight="1" x14ac:dyDescent="0.4">
      <c r="A116" s="100" t="s">
        <v>100</v>
      </c>
      <c r="B116" s="225">
        <v>1</v>
      </c>
      <c r="C116" s="106"/>
      <c r="D116" s="149"/>
      <c r="E116" s="150" t="s">
        <v>70</v>
      </c>
      <c r="F116" s="242">
        <f>AVERAGE(F109:F114)</f>
        <v>0.53850205999740275</v>
      </c>
    </row>
    <row r="117" spans="1:9" ht="27" customHeight="1" x14ac:dyDescent="0.4">
      <c r="A117" s="100" t="s">
        <v>101</v>
      </c>
      <c r="B117" s="194">
        <f>(B116/B115)*(B114/B113)*(B112/B111)*(B110/B109)*B108</f>
        <v>1000</v>
      </c>
      <c r="C117" s="151"/>
      <c r="D117" s="152"/>
      <c r="E117" s="153" t="s">
        <v>83</v>
      </c>
      <c r="F117" s="243">
        <f>STDEV(F109:F114)/F116</f>
        <v>0.1425114587519129</v>
      </c>
    </row>
    <row r="118" spans="1:9" ht="27" customHeight="1" x14ac:dyDescent="0.4">
      <c r="A118" s="417" t="s">
        <v>77</v>
      </c>
      <c r="B118" s="418"/>
      <c r="C118" s="154"/>
      <c r="D118" s="155"/>
      <c r="E118" s="156" t="s">
        <v>19</v>
      </c>
      <c r="F118" s="244">
        <f>COUNT(F109:F114)</f>
        <v>6</v>
      </c>
      <c r="I118" s="138"/>
    </row>
    <row r="119" spans="1:9" ht="19.5" customHeight="1" x14ac:dyDescent="0.3">
      <c r="A119" s="419"/>
      <c r="B119" s="420"/>
      <c r="C119" s="134"/>
      <c r="D119" s="134"/>
      <c r="E119" s="134"/>
      <c r="F119" s="132"/>
      <c r="G119" s="134"/>
      <c r="H119" s="134"/>
    </row>
    <row r="120" spans="1:9" ht="18.75" x14ac:dyDescent="0.3">
      <c r="A120" s="97"/>
      <c r="B120" s="97"/>
      <c r="C120" s="134"/>
      <c r="D120" s="134"/>
      <c r="E120" s="134"/>
      <c r="F120" s="132"/>
      <c r="G120" s="134"/>
      <c r="H120" s="134"/>
    </row>
    <row r="121" spans="1:9" ht="26.25" customHeight="1" x14ac:dyDescent="0.4">
      <c r="A121" s="87" t="s">
        <v>128</v>
      </c>
      <c r="B121" s="218" t="s">
        <v>121</v>
      </c>
      <c r="C121" s="399" t="str">
        <f>B20</f>
        <v>ARTEMETHER</v>
      </c>
      <c r="D121" s="399"/>
      <c r="E121" s="219" t="s">
        <v>122</v>
      </c>
      <c r="F121" s="219"/>
      <c r="G121" s="245">
        <f>F116</f>
        <v>0.53850205999740275</v>
      </c>
      <c r="H121" s="134"/>
    </row>
    <row r="122" spans="1:9" ht="18.75" x14ac:dyDescent="0.3">
      <c r="A122" s="97"/>
      <c r="B122" s="97"/>
      <c r="C122" s="134"/>
      <c r="D122" s="134"/>
      <c r="E122" s="134"/>
      <c r="F122" s="132"/>
      <c r="G122" s="134"/>
      <c r="H122" s="134"/>
    </row>
    <row r="123" spans="1:9" ht="26.25" customHeight="1" x14ac:dyDescent="0.4">
      <c r="A123" s="86" t="s">
        <v>129</v>
      </c>
      <c r="B123" s="86" t="s">
        <v>130</v>
      </c>
      <c r="D123" s="241" t="s">
        <v>133</v>
      </c>
    </row>
    <row r="124" spans="1:9" ht="19.5" customHeight="1" x14ac:dyDescent="0.3">
      <c r="A124" s="80"/>
      <c r="B124" s="80"/>
      <c r="C124" s="80"/>
      <c r="D124" s="80"/>
      <c r="E124" s="80"/>
    </row>
    <row r="125" spans="1:9" ht="26.25" customHeight="1" x14ac:dyDescent="0.4">
      <c r="A125" s="99" t="s">
        <v>116</v>
      </c>
      <c r="B125" s="224">
        <v>1000</v>
      </c>
      <c r="C125" s="140" t="s">
        <v>132</v>
      </c>
      <c r="D125" s="141" t="s">
        <v>62</v>
      </c>
      <c r="E125" s="142" t="s">
        <v>118</v>
      </c>
      <c r="F125" s="143" t="s">
        <v>119</v>
      </c>
    </row>
    <row r="126" spans="1:9" ht="26.25" customHeight="1" x14ac:dyDescent="0.4">
      <c r="A126" s="100" t="s">
        <v>120</v>
      </c>
      <c r="B126" s="225">
        <v>1</v>
      </c>
      <c r="C126" s="106">
        <v>1</v>
      </c>
      <c r="D126" s="239">
        <v>1040812</v>
      </c>
      <c r="E126" s="199">
        <f t="shared" ref="E126:E131" si="3">IF(ISBLANK(D126),"-",D126/$D$104*$D$101*$B$134)</f>
        <v>15.700740438362761</v>
      </c>
      <c r="F126" s="196">
        <f t="shared" ref="F126:F131" si="4">IF(ISBLANK(D126), "-", E126/$B$56)</f>
        <v>0.78503702191813807</v>
      </c>
    </row>
    <row r="127" spans="1:9" ht="26.25" customHeight="1" x14ac:dyDescent="0.4">
      <c r="A127" s="100" t="s">
        <v>93</v>
      </c>
      <c r="B127" s="225">
        <v>1</v>
      </c>
      <c r="C127" s="106">
        <v>2</v>
      </c>
      <c r="D127" s="239">
        <v>1005682</v>
      </c>
      <c r="E127" s="200">
        <f t="shared" si="3"/>
        <v>15.17080130276509</v>
      </c>
      <c r="F127" s="197">
        <f t="shared" si="4"/>
        <v>0.75854006513825456</v>
      </c>
    </row>
    <row r="128" spans="1:9" ht="26.25" customHeight="1" x14ac:dyDescent="0.4">
      <c r="A128" s="100" t="s">
        <v>94</v>
      </c>
      <c r="B128" s="225">
        <v>1</v>
      </c>
      <c r="C128" s="106">
        <v>3</v>
      </c>
      <c r="D128" s="239">
        <v>971179</v>
      </c>
      <c r="E128" s="200">
        <f t="shared" si="3"/>
        <v>14.650320517239143</v>
      </c>
      <c r="F128" s="197">
        <f t="shared" si="4"/>
        <v>0.73251602586195719</v>
      </c>
    </row>
    <row r="129" spans="1:9" ht="26.25" customHeight="1" x14ac:dyDescent="0.4">
      <c r="A129" s="100" t="s">
        <v>95</v>
      </c>
      <c r="B129" s="225">
        <v>1</v>
      </c>
      <c r="C129" s="106">
        <v>4</v>
      </c>
      <c r="D129" s="239">
        <v>1056117</v>
      </c>
      <c r="E129" s="200">
        <f t="shared" si="3"/>
        <v>15.931617707657448</v>
      </c>
      <c r="F129" s="197">
        <f t="shared" si="4"/>
        <v>0.79658088538287242</v>
      </c>
    </row>
    <row r="130" spans="1:9" ht="26.25" customHeight="1" x14ac:dyDescent="0.4">
      <c r="A130" s="100" t="s">
        <v>96</v>
      </c>
      <c r="B130" s="225">
        <v>1</v>
      </c>
      <c r="C130" s="106">
        <v>5</v>
      </c>
      <c r="D130" s="239">
        <v>1013099</v>
      </c>
      <c r="E130" s="200">
        <f t="shared" si="3"/>
        <v>15.2826873992276</v>
      </c>
      <c r="F130" s="197">
        <f t="shared" si="4"/>
        <v>0.76413436996137996</v>
      </c>
    </row>
    <row r="131" spans="1:9" ht="26.25" customHeight="1" x14ac:dyDescent="0.4">
      <c r="A131" s="100" t="s">
        <v>98</v>
      </c>
      <c r="B131" s="225">
        <v>1</v>
      </c>
      <c r="C131" s="109">
        <v>6</v>
      </c>
      <c r="D131" s="240">
        <v>1002733</v>
      </c>
      <c r="E131" s="201">
        <f t="shared" si="3"/>
        <v>15.126315378743527</v>
      </c>
      <c r="F131" s="198">
        <f t="shared" si="4"/>
        <v>0.75631576893717634</v>
      </c>
    </row>
    <row r="132" spans="1:9" ht="26.25" customHeight="1" x14ac:dyDescent="0.4">
      <c r="A132" s="100" t="s">
        <v>99</v>
      </c>
      <c r="B132" s="225">
        <v>1</v>
      </c>
      <c r="C132" s="106"/>
      <c r="D132" s="132"/>
      <c r="E132" s="134"/>
      <c r="F132" s="148"/>
    </row>
    <row r="133" spans="1:9" ht="26.25" customHeight="1" x14ac:dyDescent="0.4">
      <c r="A133" s="100" t="s">
        <v>100</v>
      </c>
      <c r="B133" s="225">
        <v>1</v>
      </c>
      <c r="C133" s="106"/>
      <c r="D133" s="149"/>
      <c r="E133" s="150" t="s">
        <v>70</v>
      </c>
      <c r="F133" s="242">
        <f>AVERAGE(F126:F131)</f>
        <v>0.76552068953329633</v>
      </c>
    </row>
    <row r="134" spans="1:9" ht="27" customHeight="1" x14ac:dyDescent="0.4">
      <c r="A134" s="100" t="s">
        <v>101</v>
      </c>
      <c r="B134" s="246">
        <f>(B133/B132)*(B131/B130)*(B129/B128)*(B127/B126)*B125</f>
        <v>1000</v>
      </c>
      <c r="C134" s="151"/>
      <c r="D134" s="152"/>
      <c r="E134" s="153" t="s">
        <v>83</v>
      </c>
      <c r="F134" s="243">
        <f>STDEV(F126:F131)/F133</f>
        <v>2.9617678821822695E-2</v>
      </c>
    </row>
    <row r="135" spans="1:9" ht="27" customHeight="1" x14ac:dyDescent="0.4">
      <c r="A135" s="417" t="s">
        <v>77</v>
      </c>
      <c r="B135" s="418"/>
      <c r="C135" s="154"/>
      <c r="D135" s="155"/>
      <c r="E135" s="156" t="s">
        <v>19</v>
      </c>
      <c r="F135" s="244">
        <f>COUNT(F126:F131)</f>
        <v>6</v>
      </c>
      <c r="I135" s="138"/>
    </row>
    <row r="136" spans="1:9" ht="19.5" customHeight="1" x14ac:dyDescent="0.3">
      <c r="A136" s="419"/>
      <c r="B136" s="420"/>
      <c r="C136" s="134"/>
      <c r="D136" s="134"/>
      <c r="E136" s="134"/>
      <c r="F136" s="132"/>
      <c r="G136" s="134"/>
      <c r="H136" s="134"/>
    </row>
    <row r="137" spans="1:9" ht="18.75" x14ac:dyDescent="0.3">
      <c r="A137" s="97"/>
      <c r="B137" s="97"/>
      <c r="C137" s="134"/>
      <c r="D137" s="134"/>
      <c r="E137" s="134"/>
      <c r="F137" s="132"/>
      <c r="G137" s="134"/>
      <c r="H137" s="134"/>
    </row>
    <row r="138" spans="1:9" ht="26.25" customHeight="1" x14ac:dyDescent="0.4">
      <c r="A138" s="87" t="s">
        <v>128</v>
      </c>
      <c r="B138" s="218" t="s">
        <v>121</v>
      </c>
      <c r="C138" s="399" t="str">
        <f>B20</f>
        <v>ARTEMETHER</v>
      </c>
      <c r="D138" s="399"/>
      <c r="E138" s="219" t="s">
        <v>122</v>
      </c>
      <c r="F138" s="219"/>
      <c r="G138" s="245">
        <f>F133</f>
        <v>0.76552068953329633</v>
      </c>
      <c r="H138" s="134"/>
    </row>
    <row r="139" spans="1:9" ht="19.5" customHeight="1" x14ac:dyDescent="0.3">
      <c r="A139" s="168"/>
      <c r="B139" s="168"/>
      <c r="C139" s="169"/>
      <c r="D139" s="169"/>
      <c r="E139" s="169"/>
      <c r="F139" s="169"/>
      <c r="G139" s="169"/>
      <c r="H139" s="169"/>
    </row>
    <row r="140" spans="1:9" ht="18.75" x14ac:dyDescent="0.3">
      <c r="B140" s="400" t="s">
        <v>25</v>
      </c>
      <c r="C140" s="400"/>
      <c r="E140" s="159" t="s">
        <v>26</v>
      </c>
      <c r="F140" s="184"/>
      <c r="G140" s="400" t="s">
        <v>27</v>
      </c>
      <c r="H140" s="400"/>
    </row>
    <row r="141" spans="1:9" ht="48.75" customHeight="1" x14ac:dyDescent="0.3">
      <c r="A141" s="185" t="s">
        <v>28</v>
      </c>
      <c r="B141" s="216"/>
      <c r="C141" s="216"/>
      <c r="E141" s="180"/>
      <c r="F141" s="134"/>
      <c r="G141" s="182"/>
      <c r="H141" s="182"/>
    </row>
    <row r="142" spans="1:9" ht="54" customHeight="1" x14ac:dyDescent="0.3">
      <c r="A142" s="185" t="s">
        <v>29</v>
      </c>
      <c r="B142" s="217"/>
      <c r="C142" s="217"/>
      <c r="E142" s="181"/>
      <c r="F142" s="134"/>
      <c r="G142" s="183"/>
      <c r="H142" s="183"/>
    </row>
    <row r="143" spans="1:9" ht="18.75" x14ac:dyDescent="0.3">
      <c r="A143" s="131"/>
      <c r="B143" s="131"/>
      <c r="C143" s="132"/>
      <c r="D143" s="132"/>
      <c r="E143" s="132"/>
      <c r="F143" s="133"/>
      <c r="G143" s="132"/>
      <c r="H143" s="132"/>
    </row>
    <row r="144" spans="1:9" ht="18.75" x14ac:dyDescent="0.3">
      <c r="A144" s="131"/>
      <c r="B144" s="131"/>
      <c r="C144" s="132"/>
      <c r="D144" s="132"/>
      <c r="E144" s="132"/>
      <c r="F144" s="133"/>
      <c r="G144" s="132"/>
      <c r="H144" s="132"/>
    </row>
    <row r="145" spans="1:8" ht="18.75" x14ac:dyDescent="0.3">
      <c r="A145" s="131"/>
      <c r="B145" s="131"/>
      <c r="C145" s="132"/>
      <c r="D145" s="132"/>
      <c r="E145" s="132"/>
      <c r="F145" s="133"/>
      <c r="G145" s="132"/>
      <c r="H145" s="132"/>
    </row>
    <row r="146" spans="1:8" ht="18.75" x14ac:dyDescent="0.3">
      <c r="A146" s="131"/>
      <c r="B146" s="131"/>
      <c r="C146" s="132"/>
      <c r="D146" s="132"/>
      <c r="E146" s="132"/>
      <c r="F146" s="133"/>
      <c r="G146" s="132"/>
      <c r="H146" s="132"/>
    </row>
    <row r="147" spans="1:8" ht="18.75" x14ac:dyDescent="0.3">
      <c r="A147" s="131"/>
      <c r="B147" s="131"/>
      <c r="C147" s="132"/>
      <c r="D147" s="132"/>
      <c r="E147" s="132"/>
      <c r="F147" s="133"/>
      <c r="G147" s="132"/>
      <c r="H147" s="132"/>
    </row>
    <row r="148" spans="1:8" ht="18.75" x14ac:dyDescent="0.3">
      <c r="A148" s="131"/>
      <c r="B148" s="131"/>
      <c r="C148" s="132"/>
      <c r="D148" s="132"/>
      <c r="E148" s="132"/>
      <c r="F148" s="133"/>
      <c r="G148" s="132"/>
      <c r="H148" s="132"/>
    </row>
    <row r="149" spans="1:8" ht="18.75" x14ac:dyDescent="0.3">
      <c r="A149" s="131"/>
      <c r="B149" s="131"/>
      <c r="C149" s="132"/>
      <c r="D149" s="132"/>
      <c r="E149" s="132"/>
      <c r="F149" s="133"/>
      <c r="G149" s="132"/>
      <c r="H149" s="132"/>
    </row>
    <row r="150" spans="1:8" ht="18.75" x14ac:dyDescent="0.3">
      <c r="A150" s="131"/>
      <c r="B150" s="131"/>
      <c r="C150" s="132"/>
      <c r="D150" s="132"/>
      <c r="E150" s="132"/>
      <c r="F150" s="133"/>
      <c r="G150" s="132"/>
      <c r="H150" s="132"/>
    </row>
    <row r="151" spans="1:8" ht="18.75" x14ac:dyDescent="0.3">
      <c r="A151" s="131"/>
      <c r="B151" s="131"/>
      <c r="C151" s="132"/>
      <c r="D151" s="132"/>
      <c r="E151" s="132"/>
      <c r="F151" s="133"/>
      <c r="G151" s="132"/>
      <c r="H151" s="13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1" fitToHeight="2" orientation="portrait" r:id="rId1"/>
  <headerFooter alignWithMargins="0">
    <oddFooter>&amp;LNQCL/ADDO/014&amp;C&amp;P of &amp;N&amp;R&amp;D &amp;T</oddFooter>
  </headerFooter>
  <rowBreaks count="1" manualBreakCount="1">
    <brk id="142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zoomScale="60" zoomScaleNormal="40" zoomScalePageLayoutView="55" workbookViewId="0">
      <selection activeCell="C19" sqref="C19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  <col min="13" max="16384" width="9.140625" style="277"/>
  </cols>
  <sheetData>
    <row r="1" spans="1:9" ht="18.75" customHeight="1" x14ac:dyDescent="0.3">
      <c r="A1" s="427" t="s">
        <v>44</v>
      </c>
      <c r="B1" s="427"/>
      <c r="C1" s="427"/>
      <c r="D1" s="427"/>
      <c r="E1" s="427"/>
      <c r="F1" s="427"/>
      <c r="G1" s="427"/>
      <c r="H1" s="427"/>
      <c r="I1" s="427"/>
    </row>
    <row r="2" spans="1:9" ht="18.75" customHeight="1" x14ac:dyDescent="0.3">
      <c r="A2" s="427"/>
      <c r="B2" s="427"/>
      <c r="C2" s="427"/>
      <c r="D2" s="427"/>
      <c r="E2" s="427"/>
      <c r="F2" s="427"/>
      <c r="G2" s="427"/>
      <c r="H2" s="427"/>
      <c r="I2" s="427"/>
    </row>
    <row r="3" spans="1:9" ht="18.75" customHeight="1" x14ac:dyDescent="0.3">
      <c r="A3" s="427"/>
      <c r="B3" s="427"/>
      <c r="C3" s="427"/>
      <c r="D3" s="427"/>
      <c r="E3" s="427"/>
      <c r="F3" s="427"/>
      <c r="G3" s="427"/>
      <c r="H3" s="427"/>
      <c r="I3" s="427"/>
    </row>
    <row r="4" spans="1:9" ht="18.75" customHeight="1" x14ac:dyDescent="0.3">
      <c r="A4" s="427"/>
      <c r="B4" s="427"/>
      <c r="C4" s="427"/>
      <c r="D4" s="427"/>
      <c r="E4" s="427"/>
      <c r="F4" s="427"/>
      <c r="G4" s="427"/>
      <c r="H4" s="427"/>
      <c r="I4" s="427"/>
    </row>
    <row r="5" spans="1:9" ht="18.75" customHeight="1" x14ac:dyDescent="0.3">
      <c r="A5" s="427"/>
      <c r="B5" s="427"/>
      <c r="C5" s="427"/>
      <c r="D5" s="427"/>
      <c r="E5" s="427"/>
      <c r="F5" s="427"/>
      <c r="G5" s="427"/>
      <c r="H5" s="427"/>
      <c r="I5" s="427"/>
    </row>
    <row r="6" spans="1:9" ht="18.75" customHeight="1" x14ac:dyDescent="0.3">
      <c r="A6" s="427"/>
      <c r="B6" s="427"/>
      <c r="C6" s="427"/>
      <c r="D6" s="427"/>
      <c r="E6" s="427"/>
      <c r="F6" s="427"/>
      <c r="G6" s="427"/>
      <c r="H6" s="427"/>
      <c r="I6" s="427"/>
    </row>
    <row r="7" spans="1:9" ht="18.75" customHeight="1" x14ac:dyDescent="0.3">
      <c r="A7" s="427"/>
      <c r="B7" s="427"/>
      <c r="C7" s="427"/>
      <c r="D7" s="427"/>
      <c r="E7" s="427"/>
      <c r="F7" s="427"/>
      <c r="G7" s="427"/>
      <c r="H7" s="427"/>
      <c r="I7" s="427"/>
    </row>
    <row r="8" spans="1:9" x14ac:dyDescent="0.3">
      <c r="A8" s="428" t="s">
        <v>45</v>
      </c>
      <c r="B8" s="428"/>
      <c r="C8" s="428"/>
      <c r="D8" s="428"/>
      <c r="E8" s="428"/>
      <c r="F8" s="428"/>
      <c r="G8" s="428"/>
      <c r="H8" s="428"/>
      <c r="I8" s="428"/>
    </row>
    <row r="9" spans="1:9" x14ac:dyDescent="0.3">
      <c r="A9" s="428"/>
      <c r="B9" s="428"/>
      <c r="C9" s="428"/>
      <c r="D9" s="428"/>
      <c r="E9" s="428"/>
      <c r="F9" s="428"/>
      <c r="G9" s="428"/>
      <c r="H9" s="428"/>
      <c r="I9" s="428"/>
    </row>
    <row r="10" spans="1:9" x14ac:dyDescent="0.3">
      <c r="A10" s="428"/>
      <c r="B10" s="428"/>
      <c r="C10" s="428"/>
      <c r="D10" s="428"/>
      <c r="E10" s="428"/>
      <c r="F10" s="428"/>
      <c r="G10" s="428"/>
      <c r="H10" s="428"/>
      <c r="I10" s="428"/>
    </row>
    <row r="11" spans="1:9" x14ac:dyDescent="0.3">
      <c r="A11" s="428"/>
      <c r="B11" s="428"/>
      <c r="C11" s="428"/>
      <c r="D11" s="428"/>
      <c r="E11" s="428"/>
      <c r="F11" s="428"/>
      <c r="G11" s="428"/>
      <c r="H11" s="428"/>
      <c r="I11" s="428"/>
    </row>
    <row r="12" spans="1:9" x14ac:dyDescent="0.3">
      <c r="A12" s="428"/>
      <c r="B12" s="428"/>
      <c r="C12" s="428"/>
      <c r="D12" s="428"/>
      <c r="E12" s="428"/>
      <c r="F12" s="428"/>
      <c r="G12" s="428"/>
      <c r="H12" s="428"/>
      <c r="I12" s="428"/>
    </row>
    <row r="13" spans="1:9" x14ac:dyDescent="0.3">
      <c r="A13" s="428"/>
      <c r="B13" s="428"/>
      <c r="C13" s="428"/>
      <c r="D13" s="428"/>
      <c r="E13" s="428"/>
      <c r="F13" s="428"/>
      <c r="G13" s="428"/>
      <c r="H13" s="428"/>
      <c r="I13" s="428"/>
    </row>
    <row r="14" spans="1:9" x14ac:dyDescent="0.3">
      <c r="A14" s="428"/>
      <c r="B14" s="428"/>
      <c r="C14" s="428"/>
      <c r="D14" s="428"/>
      <c r="E14" s="428"/>
      <c r="F14" s="428"/>
      <c r="G14" s="428"/>
      <c r="H14" s="428"/>
      <c r="I14" s="428"/>
    </row>
    <row r="15" spans="1:9" ht="19.5" customHeight="1" x14ac:dyDescent="0.3">
      <c r="A15" s="82"/>
    </row>
    <row r="16" spans="1:9" ht="19.5" customHeight="1" x14ac:dyDescent="0.3">
      <c r="A16" s="436" t="s">
        <v>30</v>
      </c>
      <c r="B16" s="437"/>
      <c r="C16" s="437"/>
      <c r="D16" s="437"/>
      <c r="E16" s="437"/>
      <c r="F16" s="437"/>
      <c r="G16" s="437"/>
      <c r="H16" s="438"/>
    </row>
    <row r="17" spans="1:14" ht="20.25" customHeight="1" x14ac:dyDescent="0.3">
      <c r="A17" s="439" t="s">
        <v>46</v>
      </c>
      <c r="B17" s="439"/>
      <c r="C17" s="439"/>
      <c r="D17" s="439"/>
      <c r="E17" s="439"/>
      <c r="F17" s="439"/>
      <c r="G17" s="439"/>
      <c r="H17" s="439"/>
    </row>
    <row r="18" spans="1:14" ht="26.25" customHeight="1" x14ac:dyDescent="0.4">
      <c r="A18" s="82" t="s">
        <v>32</v>
      </c>
      <c r="B18" s="435" t="s">
        <v>5</v>
      </c>
      <c r="C18" s="435"/>
      <c r="D18" s="72"/>
      <c r="E18" s="62"/>
      <c r="F18" s="295"/>
      <c r="G18" s="295"/>
      <c r="H18" s="295"/>
    </row>
    <row r="19" spans="1:14" ht="26.25" customHeight="1" x14ac:dyDescent="0.4">
      <c r="A19" s="82" t="s">
        <v>33</v>
      </c>
      <c r="B19" s="251" t="s">
        <v>7</v>
      </c>
      <c r="C19" s="295">
        <v>29</v>
      </c>
      <c r="D19" s="295"/>
      <c r="E19" s="295"/>
      <c r="F19" s="295"/>
      <c r="G19" s="295"/>
      <c r="H19" s="295"/>
    </row>
    <row r="20" spans="1:14" ht="26.25" customHeight="1" x14ac:dyDescent="0.4">
      <c r="A20" s="82" t="s">
        <v>34</v>
      </c>
      <c r="B20" s="435" t="s">
        <v>9</v>
      </c>
      <c r="C20" s="435"/>
      <c r="D20" s="295"/>
      <c r="E20" s="295"/>
      <c r="F20" s="295"/>
      <c r="G20" s="295"/>
      <c r="H20" s="295"/>
    </row>
    <row r="21" spans="1:14" ht="26.25" customHeight="1" x14ac:dyDescent="0.4">
      <c r="A21" s="82" t="s">
        <v>35</v>
      </c>
      <c r="B21" s="435" t="s">
        <v>11</v>
      </c>
      <c r="C21" s="435"/>
      <c r="D21" s="435"/>
      <c r="E21" s="435"/>
      <c r="F21" s="435"/>
      <c r="G21" s="435"/>
      <c r="H21" s="435"/>
      <c r="I21" s="296"/>
    </row>
    <row r="22" spans="1:14" ht="26.25" customHeight="1" x14ac:dyDescent="0.4">
      <c r="A22" s="82" t="s">
        <v>36</v>
      </c>
      <c r="B22" s="297" t="str">
        <f>'ARTEMETHER '!B22</f>
        <v>29th oct 2015</v>
      </c>
      <c r="C22" s="295"/>
      <c r="D22" s="295"/>
      <c r="E22" s="295"/>
      <c r="F22" s="295"/>
      <c r="G22" s="295"/>
      <c r="H22" s="295"/>
    </row>
    <row r="23" spans="1:14" ht="26.25" customHeight="1" x14ac:dyDescent="0.4">
      <c r="A23" s="82" t="s">
        <v>37</v>
      </c>
      <c r="B23" s="297" t="str">
        <f>'ARTEMETHER '!B23</f>
        <v>4th Dec 2015</v>
      </c>
      <c r="C23" s="295"/>
      <c r="D23" s="295"/>
      <c r="E23" s="295"/>
      <c r="F23" s="295"/>
      <c r="G23" s="295"/>
      <c r="H23" s="295"/>
    </row>
    <row r="24" spans="1:14" ht="18.75" x14ac:dyDescent="0.3">
      <c r="A24" s="82"/>
      <c r="B24" s="298"/>
    </row>
    <row r="25" spans="1:14" ht="18.75" x14ac:dyDescent="0.3">
      <c r="A25" s="86" t="s">
        <v>1</v>
      </c>
      <c r="B25" s="298"/>
    </row>
    <row r="26" spans="1:14" ht="26.25" customHeight="1" x14ac:dyDescent="0.4">
      <c r="A26" s="185" t="s">
        <v>4</v>
      </c>
      <c r="B26" s="435" t="s">
        <v>138</v>
      </c>
      <c r="C26" s="435"/>
    </row>
    <row r="27" spans="1:14" ht="26.25" customHeight="1" x14ac:dyDescent="0.4">
      <c r="A27" s="185" t="s">
        <v>47</v>
      </c>
      <c r="B27" s="432" t="s">
        <v>139</v>
      </c>
      <c r="C27" s="432"/>
    </row>
    <row r="28" spans="1:14" ht="27" customHeight="1" x14ac:dyDescent="0.4">
      <c r="A28" s="185" t="s">
        <v>6</v>
      </c>
      <c r="B28" s="222">
        <v>100.2</v>
      </c>
    </row>
    <row r="29" spans="1:14" s="15" customFormat="1" ht="27" customHeight="1" x14ac:dyDescent="0.4">
      <c r="A29" s="185" t="s">
        <v>48</v>
      </c>
      <c r="B29" s="222"/>
      <c r="C29" s="401" t="s">
        <v>49</v>
      </c>
      <c r="D29" s="402"/>
      <c r="E29" s="402"/>
      <c r="F29" s="402"/>
      <c r="G29" s="403"/>
      <c r="I29" s="91"/>
      <c r="J29" s="91"/>
      <c r="K29" s="91"/>
      <c r="L29" s="91"/>
    </row>
    <row r="30" spans="1:14" s="15" customFormat="1" ht="19.5" customHeight="1" x14ac:dyDescent="0.3">
      <c r="A30" s="185" t="s">
        <v>50</v>
      </c>
      <c r="B30" s="254">
        <f>B28-B29</f>
        <v>100.2</v>
      </c>
      <c r="C30" s="299"/>
      <c r="D30" s="299"/>
      <c r="E30" s="299"/>
      <c r="F30" s="299"/>
      <c r="G30" s="300"/>
      <c r="I30" s="91"/>
      <c r="J30" s="91"/>
      <c r="K30" s="91"/>
      <c r="L30" s="91"/>
    </row>
    <row r="31" spans="1:14" s="15" customFormat="1" ht="27" customHeight="1" x14ac:dyDescent="0.4">
      <c r="A31" s="185" t="s">
        <v>51</v>
      </c>
      <c r="B31" s="223">
        <v>1</v>
      </c>
      <c r="C31" s="406" t="s">
        <v>52</v>
      </c>
      <c r="D31" s="407"/>
      <c r="E31" s="407"/>
      <c r="F31" s="407"/>
      <c r="G31" s="407"/>
      <c r="H31" s="408"/>
      <c r="I31" s="91"/>
      <c r="J31" s="91"/>
      <c r="K31" s="91"/>
      <c r="L31" s="91"/>
    </row>
    <row r="32" spans="1:14" s="15" customFormat="1" ht="27" customHeight="1" x14ac:dyDescent="0.4">
      <c r="A32" s="185" t="s">
        <v>53</v>
      </c>
      <c r="B32" s="223">
        <v>1</v>
      </c>
      <c r="C32" s="406" t="s">
        <v>54</v>
      </c>
      <c r="D32" s="407"/>
      <c r="E32" s="407"/>
      <c r="F32" s="407"/>
      <c r="G32" s="407"/>
      <c r="H32" s="408"/>
      <c r="I32" s="91"/>
      <c r="J32" s="91"/>
      <c r="K32" s="91"/>
      <c r="L32" s="95"/>
      <c r="M32" s="95"/>
      <c r="N32" s="301"/>
    </row>
    <row r="33" spans="1:14" s="15" customFormat="1" ht="17.25" customHeight="1" x14ac:dyDescent="0.3">
      <c r="A33" s="185"/>
      <c r="B33" s="94"/>
      <c r="C33" s="97"/>
      <c r="D33" s="97"/>
      <c r="E33" s="97"/>
      <c r="F33" s="97"/>
      <c r="G33" s="97"/>
      <c r="H33" s="97"/>
      <c r="I33" s="91"/>
      <c r="J33" s="91"/>
      <c r="K33" s="91"/>
      <c r="L33" s="95"/>
      <c r="M33" s="95"/>
      <c r="N33" s="301"/>
    </row>
    <row r="34" spans="1:14" s="15" customFormat="1" ht="18.75" x14ac:dyDescent="0.3">
      <c r="A34" s="185" t="s">
        <v>55</v>
      </c>
      <c r="B34" s="98">
        <f>B31/B32</f>
        <v>1</v>
      </c>
      <c r="C34" s="82" t="s">
        <v>56</v>
      </c>
      <c r="D34" s="82"/>
      <c r="E34" s="82"/>
      <c r="F34" s="82"/>
      <c r="G34" s="82"/>
      <c r="I34" s="91"/>
      <c r="J34" s="91"/>
      <c r="K34" s="91"/>
      <c r="L34" s="95"/>
      <c r="M34" s="95"/>
      <c r="N34" s="301"/>
    </row>
    <row r="35" spans="1:14" s="15" customFormat="1" ht="19.5" customHeight="1" x14ac:dyDescent="0.3">
      <c r="A35" s="185"/>
      <c r="B35" s="254"/>
      <c r="G35" s="82"/>
      <c r="I35" s="91"/>
      <c r="J35" s="91"/>
      <c r="K35" s="91"/>
      <c r="L35" s="95"/>
      <c r="M35" s="95"/>
      <c r="N35" s="301"/>
    </row>
    <row r="36" spans="1:14" s="15" customFormat="1" ht="27" customHeight="1" x14ac:dyDescent="0.4">
      <c r="A36" s="302" t="s">
        <v>57</v>
      </c>
      <c r="B36" s="224">
        <v>50</v>
      </c>
      <c r="C36" s="82"/>
      <c r="D36" s="404" t="s">
        <v>58</v>
      </c>
      <c r="E36" s="416"/>
      <c r="F36" s="404" t="s">
        <v>59</v>
      </c>
      <c r="G36" s="405"/>
      <c r="J36" s="91"/>
      <c r="K36" s="91"/>
      <c r="L36" s="95"/>
      <c r="M36" s="95"/>
      <c r="N36" s="301"/>
    </row>
    <row r="37" spans="1:14" s="15" customFormat="1" ht="27" customHeight="1" x14ac:dyDescent="0.4">
      <c r="A37" s="303" t="s">
        <v>142</v>
      </c>
      <c r="B37" s="225">
        <v>4</v>
      </c>
      <c r="C37" s="102" t="s">
        <v>61</v>
      </c>
      <c r="D37" s="103" t="s">
        <v>62</v>
      </c>
      <c r="E37" s="160" t="s">
        <v>63</v>
      </c>
      <c r="F37" s="103" t="s">
        <v>62</v>
      </c>
      <c r="G37" s="63" t="s">
        <v>63</v>
      </c>
      <c r="I37" s="64" t="s">
        <v>64</v>
      </c>
      <c r="J37" s="91"/>
      <c r="K37" s="91"/>
      <c r="L37" s="95"/>
      <c r="M37" s="95"/>
      <c r="N37" s="301"/>
    </row>
    <row r="38" spans="1:14" s="15" customFormat="1" ht="26.25" customHeight="1" x14ac:dyDescent="0.4">
      <c r="A38" s="303" t="s">
        <v>143</v>
      </c>
      <c r="B38" s="225">
        <v>20</v>
      </c>
      <c r="C38" s="304">
        <v>1</v>
      </c>
      <c r="D38" s="257">
        <v>7634985</v>
      </c>
      <c r="E38" s="305">
        <f>IF(ISBLANK(D38),"-",$D$48/$D$45*D38)</f>
        <v>7871637.9225021033</v>
      </c>
      <c r="F38" s="258">
        <v>9673668</v>
      </c>
      <c r="G38" s="306">
        <f>IF(ISBLANK(F38),"-",$D$48/$F$45*F38)</f>
        <v>8072206.7570544509</v>
      </c>
      <c r="I38" s="307"/>
      <c r="J38" s="91"/>
      <c r="K38" s="91"/>
      <c r="L38" s="95"/>
      <c r="M38" s="95"/>
      <c r="N38" s="301"/>
    </row>
    <row r="39" spans="1:14" s="15" customFormat="1" ht="26.25" customHeight="1" x14ac:dyDescent="0.4">
      <c r="A39" s="303" t="s">
        <v>144</v>
      </c>
      <c r="B39" s="225">
        <v>1</v>
      </c>
      <c r="C39" s="195">
        <v>2</v>
      </c>
      <c r="D39" s="257">
        <v>7667532</v>
      </c>
      <c r="E39" s="308">
        <f>IF(ISBLANK(D39),"-",$D$48/$D$45*D39)</f>
        <v>7905193.7447419204</v>
      </c>
      <c r="F39" s="258">
        <v>9652197</v>
      </c>
      <c r="G39" s="309">
        <f>IF(ISBLANK(F39),"-",$D$48/$F$45*F39)</f>
        <v>8054290.2489335686</v>
      </c>
      <c r="I39" s="434">
        <f>ABS((F43/D43*D42)-F42)/D42</f>
        <v>2.5616791114759757E-2</v>
      </c>
      <c r="J39" s="91"/>
      <c r="K39" s="91"/>
      <c r="L39" s="95"/>
      <c r="M39" s="95"/>
      <c r="N39" s="301"/>
    </row>
    <row r="40" spans="1:14" ht="26.25" customHeight="1" x14ac:dyDescent="0.4">
      <c r="A40" s="303" t="s">
        <v>145</v>
      </c>
      <c r="B40" s="225">
        <v>1</v>
      </c>
      <c r="C40" s="195">
        <v>3</v>
      </c>
      <c r="D40" s="257">
        <v>7678672</v>
      </c>
      <c r="E40" s="308">
        <f>IF(ISBLANK(D40),"-",$D$48/$D$45*D40)</f>
        <v>7916679.0386169804</v>
      </c>
      <c r="F40" s="258">
        <v>9656953</v>
      </c>
      <c r="G40" s="309">
        <f>IF(ISBLANK(F40),"-",$D$48/$F$45*F40)</f>
        <v>8058258.9002596792</v>
      </c>
      <c r="I40" s="434"/>
      <c r="L40" s="95"/>
      <c r="M40" s="95"/>
      <c r="N40" s="82"/>
    </row>
    <row r="41" spans="1:14" ht="27" customHeight="1" x14ac:dyDescent="0.4">
      <c r="A41" s="303" t="s">
        <v>146</v>
      </c>
      <c r="B41" s="225">
        <v>1</v>
      </c>
      <c r="C41" s="310">
        <v>4</v>
      </c>
      <c r="D41" s="257"/>
      <c r="E41" s="311" t="str">
        <f>IF(ISBLANK(D41),"-",$D$48/$D$45*D41)</f>
        <v>-</v>
      </c>
      <c r="F41" s="258"/>
      <c r="G41" s="312" t="str">
        <f>IF(ISBLANK(F41),"-",$D$48/$F$45*F41)</f>
        <v>-</v>
      </c>
      <c r="I41" s="313"/>
      <c r="L41" s="95"/>
      <c r="M41" s="95"/>
      <c r="N41" s="82"/>
    </row>
    <row r="42" spans="1:14" ht="27" customHeight="1" x14ac:dyDescent="0.4">
      <c r="A42" s="303" t="s">
        <v>147</v>
      </c>
      <c r="B42" s="225">
        <v>1</v>
      </c>
      <c r="C42" s="314" t="s">
        <v>70</v>
      </c>
      <c r="D42" s="111">
        <f>AVERAGE(D38:D41)</f>
        <v>7660396.333333333</v>
      </c>
      <c r="E42" s="135">
        <f>AVERAGE(E38:E41)</f>
        <v>7897836.9019536683</v>
      </c>
      <c r="F42" s="111">
        <f>AVERAGE(F38:F41)</f>
        <v>9660939.333333334</v>
      </c>
      <c r="G42" s="112">
        <f>AVERAGE(G38:G41)</f>
        <v>8061585.3020825656</v>
      </c>
      <c r="H42" s="281"/>
    </row>
    <row r="43" spans="1:14" ht="26.25" customHeight="1" x14ac:dyDescent="0.4">
      <c r="A43" s="303" t="s">
        <v>148</v>
      </c>
      <c r="B43" s="225">
        <v>1</v>
      </c>
      <c r="C43" s="315" t="s">
        <v>72</v>
      </c>
      <c r="D43" s="230">
        <v>14.52</v>
      </c>
      <c r="E43" s="82"/>
      <c r="F43" s="230">
        <v>17.940000000000001</v>
      </c>
      <c r="H43" s="281"/>
    </row>
    <row r="44" spans="1:14" ht="26.25" customHeight="1" x14ac:dyDescent="0.4">
      <c r="A44" s="303" t="s">
        <v>149</v>
      </c>
      <c r="B44" s="225">
        <v>1</v>
      </c>
      <c r="C44" s="316" t="s">
        <v>74</v>
      </c>
      <c r="D44" s="317">
        <f>D43*$B$34</f>
        <v>14.52</v>
      </c>
      <c r="E44" s="254"/>
      <c r="F44" s="317">
        <f>F43*$B$34</f>
        <v>17.940000000000001</v>
      </c>
      <c r="H44" s="281"/>
    </row>
    <row r="45" spans="1:14" ht="19.5" customHeight="1" x14ac:dyDescent="0.3">
      <c r="A45" s="303" t="s">
        <v>75</v>
      </c>
      <c r="B45" s="195">
        <f>(B44/B43)*(B42/B41)*(B40/B39)*(B38/B37)*B36</f>
        <v>250</v>
      </c>
      <c r="C45" s="316" t="s">
        <v>76</v>
      </c>
      <c r="D45" s="318">
        <f>D44*$B$30/100</f>
        <v>14.54904</v>
      </c>
      <c r="E45" s="94"/>
      <c r="F45" s="318">
        <f>F44*$B$30/100</f>
        <v>17.975880000000004</v>
      </c>
      <c r="H45" s="281"/>
    </row>
    <row r="46" spans="1:14" ht="19.5" customHeight="1" x14ac:dyDescent="0.3">
      <c r="A46" s="417" t="s">
        <v>77</v>
      </c>
      <c r="B46" s="418"/>
      <c r="C46" s="316" t="s">
        <v>78</v>
      </c>
      <c r="D46" s="319">
        <f>D45/$B$45</f>
        <v>5.8196159999999997E-2</v>
      </c>
      <c r="E46" s="320"/>
      <c r="F46" s="321">
        <f>F45/$B$45</f>
        <v>7.1903520000000012E-2</v>
      </c>
      <c r="H46" s="281"/>
    </row>
    <row r="47" spans="1:14" ht="27" customHeight="1" x14ac:dyDescent="0.4">
      <c r="A47" s="419"/>
      <c r="B47" s="420"/>
      <c r="C47" s="322" t="s">
        <v>79</v>
      </c>
      <c r="D47" s="65">
        <v>0.06</v>
      </c>
      <c r="E47" s="323"/>
      <c r="F47" s="320"/>
      <c r="H47" s="281"/>
    </row>
    <row r="48" spans="1:14" ht="18.75" x14ac:dyDescent="0.3">
      <c r="C48" s="324" t="s">
        <v>80</v>
      </c>
      <c r="D48" s="318">
        <f>D47*$B$45</f>
        <v>15</v>
      </c>
      <c r="F48" s="325"/>
      <c r="H48" s="281"/>
    </row>
    <row r="49" spans="1:12" ht="19.5" customHeight="1" x14ac:dyDescent="0.3">
      <c r="C49" s="326" t="s">
        <v>81</v>
      </c>
      <c r="D49" s="327">
        <f>D48/B34</f>
        <v>15</v>
      </c>
      <c r="F49" s="325"/>
      <c r="H49" s="281"/>
    </row>
    <row r="50" spans="1:12" ht="18.75" x14ac:dyDescent="0.3">
      <c r="C50" s="302" t="s">
        <v>82</v>
      </c>
      <c r="D50" s="66">
        <f>AVERAGE(E38:E41,G38:G41)</f>
        <v>7979711.1020181179</v>
      </c>
      <c r="F50" s="149"/>
      <c r="H50" s="281"/>
    </row>
    <row r="51" spans="1:12" ht="18.75" x14ac:dyDescent="0.3">
      <c r="C51" s="303" t="s">
        <v>83</v>
      </c>
      <c r="D51" s="137">
        <f>STDEV(E38:E41,G38:G41)/D50</f>
        <v>1.1416025811954087E-2</v>
      </c>
      <c r="F51" s="149"/>
      <c r="H51" s="281"/>
    </row>
    <row r="52" spans="1:12" ht="19.5" customHeight="1" x14ac:dyDescent="0.3">
      <c r="C52" s="328" t="s">
        <v>19</v>
      </c>
      <c r="D52" s="329">
        <f>COUNT(E38:E41,G38:G41)</f>
        <v>6</v>
      </c>
      <c r="F52" s="149"/>
    </row>
    <row r="54" spans="1:12" ht="18.75" x14ac:dyDescent="0.3">
      <c r="A54" s="80" t="s">
        <v>1</v>
      </c>
      <c r="B54" s="125" t="s">
        <v>84</v>
      </c>
    </row>
    <row r="55" spans="1:12" ht="18.75" x14ac:dyDescent="0.3">
      <c r="A55" s="82" t="s">
        <v>85</v>
      </c>
      <c r="B55" s="125" t="str">
        <f>B21</f>
        <v>Each tablet contains:
Artemether 20 mg
Lumefantrine 120 mg</v>
      </c>
    </row>
    <row r="56" spans="1:12" ht="26.25" customHeight="1" x14ac:dyDescent="0.4">
      <c r="A56" s="125" t="s">
        <v>86</v>
      </c>
      <c r="B56" s="67">
        <v>120</v>
      </c>
      <c r="C56" s="82" t="str">
        <f>B20</f>
        <v>Artemether &amp; Lumefantrine</v>
      </c>
      <c r="H56" s="254"/>
    </row>
    <row r="57" spans="1:12" ht="18.75" x14ac:dyDescent="0.3">
      <c r="A57" s="125" t="s">
        <v>87</v>
      </c>
      <c r="B57" s="248">
        <f>Uniformity!C46</f>
        <v>606.91749999999979</v>
      </c>
      <c r="H57" s="254"/>
    </row>
    <row r="58" spans="1:12" ht="19.5" customHeight="1" x14ac:dyDescent="0.3">
      <c r="H58" s="254"/>
    </row>
    <row r="59" spans="1:12" s="15" customFormat="1" ht="27" customHeight="1" thickBot="1" x14ac:dyDescent="0.45">
      <c r="A59" s="302" t="s">
        <v>88</v>
      </c>
      <c r="B59" s="224">
        <v>100</v>
      </c>
      <c r="C59" s="82"/>
      <c r="D59" s="127" t="s">
        <v>89</v>
      </c>
      <c r="E59" s="126" t="s">
        <v>61</v>
      </c>
      <c r="F59" s="126" t="s">
        <v>62</v>
      </c>
      <c r="G59" s="126" t="s">
        <v>90</v>
      </c>
      <c r="H59" s="102" t="s">
        <v>91</v>
      </c>
      <c r="L59" s="91"/>
    </row>
    <row r="60" spans="1:12" s="15" customFormat="1" ht="26.25" customHeight="1" x14ac:dyDescent="0.4">
      <c r="A60" s="303" t="s">
        <v>150</v>
      </c>
      <c r="B60" s="225">
        <v>4</v>
      </c>
      <c r="C60" s="409" t="s">
        <v>92</v>
      </c>
      <c r="D60" s="413">
        <v>154.41</v>
      </c>
      <c r="E60" s="126">
        <v>1</v>
      </c>
      <c r="F60" s="233">
        <v>8551217</v>
      </c>
      <c r="G60" s="330">
        <f>IF(ISBLANK(F60),"-",(F60/$D$50*$D$47*$B$68)*($B$57/$D$60))</f>
        <v>126.36193014276009</v>
      </c>
      <c r="H60" s="331">
        <f t="shared" ref="H60:H71" si="0">IF(ISBLANK(F60),"-",G60/$B$56)</f>
        <v>1.0530160845230008</v>
      </c>
      <c r="L60" s="91"/>
    </row>
    <row r="61" spans="1:12" s="15" customFormat="1" ht="26.25" customHeight="1" x14ac:dyDescent="0.4">
      <c r="A61" s="303" t="s">
        <v>151</v>
      </c>
      <c r="B61" s="225">
        <v>20</v>
      </c>
      <c r="C61" s="410"/>
      <c r="D61" s="414"/>
      <c r="E61" s="332">
        <v>2</v>
      </c>
      <c r="F61" s="227">
        <v>8564153</v>
      </c>
      <c r="G61" s="333">
        <f>IF(ISBLANK(F61),"-",(F61/$D$50*$D$47*$B$68)*($B$57/$D$60))</f>
        <v>126.55308631717676</v>
      </c>
      <c r="H61" s="334">
        <f t="shared" si="0"/>
        <v>1.0546090526431398</v>
      </c>
      <c r="L61" s="91"/>
    </row>
    <row r="62" spans="1:12" s="15" customFormat="1" ht="26.25" customHeight="1" x14ac:dyDescent="0.4">
      <c r="A62" s="303" t="s">
        <v>152</v>
      </c>
      <c r="B62" s="225">
        <v>1</v>
      </c>
      <c r="C62" s="410"/>
      <c r="D62" s="414"/>
      <c r="E62" s="332">
        <v>3</v>
      </c>
      <c r="F62" s="227">
        <v>8570906</v>
      </c>
      <c r="G62" s="333">
        <f>IF(ISBLANK(F62),"-",(F62/$D$50*$D$47*$B$68)*($B$57/$D$60))</f>
        <v>126.65287586926672</v>
      </c>
      <c r="H62" s="334">
        <f t="shared" si="0"/>
        <v>1.0554406322438894</v>
      </c>
      <c r="L62" s="91"/>
    </row>
    <row r="63" spans="1:12" ht="27" customHeight="1" thickBot="1" x14ac:dyDescent="0.45">
      <c r="A63" s="303" t="s">
        <v>153</v>
      </c>
      <c r="B63" s="225">
        <v>1</v>
      </c>
      <c r="C63" s="411"/>
      <c r="D63" s="415"/>
      <c r="E63" s="335">
        <v>4</v>
      </c>
      <c r="F63" s="234"/>
      <c r="G63" s="333" t="str">
        <f>IF(ISBLANK(F63),"-",(F63/$D$50*$D$47*$B$68)*($B$57/$D$60))</f>
        <v>-</v>
      </c>
      <c r="H63" s="334" t="str">
        <f t="shared" si="0"/>
        <v>-</v>
      </c>
    </row>
    <row r="64" spans="1:12" ht="26.25" customHeight="1" x14ac:dyDescent="0.4">
      <c r="A64" s="303" t="s">
        <v>154</v>
      </c>
      <c r="B64" s="225">
        <v>1</v>
      </c>
      <c r="C64" s="409" t="s">
        <v>97</v>
      </c>
      <c r="D64" s="413">
        <v>157.08000000000001</v>
      </c>
      <c r="E64" s="126">
        <v>1</v>
      </c>
      <c r="F64" s="233">
        <v>8492288</v>
      </c>
      <c r="G64" s="336">
        <f>IF(ISBLANK(F64),"-",(F64/$D$50*$D$47*$B$68)*($B$57/$D$64))</f>
        <v>123.35807055530347</v>
      </c>
      <c r="H64" s="337">
        <f t="shared" si="0"/>
        <v>1.0279839212941957</v>
      </c>
    </row>
    <row r="65" spans="1:8" ht="26.25" customHeight="1" x14ac:dyDescent="0.4">
      <c r="A65" s="303" t="s">
        <v>155</v>
      </c>
      <c r="B65" s="225">
        <v>1</v>
      </c>
      <c r="C65" s="410"/>
      <c r="D65" s="414"/>
      <c r="E65" s="332">
        <v>2</v>
      </c>
      <c r="F65" s="227">
        <v>8496201</v>
      </c>
      <c r="G65" s="338">
        <f>IF(ISBLANK(F65),"-",(F65/$D$50*$D$47*$B$68)*($B$57/$D$64))</f>
        <v>123.41491037633673</v>
      </c>
      <c r="H65" s="339">
        <f t="shared" si="0"/>
        <v>1.0284575864694727</v>
      </c>
    </row>
    <row r="66" spans="1:8" ht="26.25" customHeight="1" x14ac:dyDescent="0.4">
      <c r="A66" s="303" t="s">
        <v>156</v>
      </c>
      <c r="B66" s="225">
        <v>1</v>
      </c>
      <c r="C66" s="410"/>
      <c r="D66" s="414"/>
      <c r="E66" s="332">
        <v>3</v>
      </c>
      <c r="F66" s="227">
        <v>8505705</v>
      </c>
      <c r="G66" s="338">
        <f>IF(ISBLANK(F66),"-",(F66/$D$50*$D$47*$B$68)*($B$57/$D$64))</f>
        <v>123.55296446759667</v>
      </c>
      <c r="H66" s="339">
        <f t="shared" si="0"/>
        <v>1.0296080372299723</v>
      </c>
    </row>
    <row r="67" spans="1:8" ht="27" customHeight="1" thickBot="1" x14ac:dyDescent="0.45">
      <c r="A67" s="303" t="s">
        <v>157</v>
      </c>
      <c r="B67" s="225">
        <v>1</v>
      </c>
      <c r="C67" s="411"/>
      <c r="D67" s="415"/>
      <c r="E67" s="335">
        <v>4</v>
      </c>
      <c r="F67" s="234"/>
      <c r="G67" s="340" t="str">
        <f>IF(ISBLANK(F67),"-",(F67/$D$50*$D$47*$B$68)*($B$57/$D$64))</f>
        <v>-</v>
      </c>
      <c r="H67" s="341" t="str">
        <f t="shared" si="0"/>
        <v>-</v>
      </c>
    </row>
    <row r="68" spans="1:8" ht="26.25" customHeight="1" x14ac:dyDescent="0.4">
      <c r="A68" s="303" t="s">
        <v>101</v>
      </c>
      <c r="B68" s="342">
        <f>(B67/B66)*(B65/B64)*(B63/B62)*(B61/B60)*B59</f>
        <v>500</v>
      </c>
      <c r="C68" s="409" t="s">
        <v>102</v>
      </c>
      <c r="D68" s="413">
        <v>149.66</v>
      </c>
      <c r="E68" s="126">
        <v>1</v>
      </c>
      <c r="F68" s="233">
        <v>8275204</v>
      </c>
      <c r="G68" s="336">
        <f>IF(ISBLANK(F68),"-",(F68/$D$50*$D$47*$B$68)*($B$57/$D$68))</f>
        <v>126.16436739670429</v>
      </c>
      <c r="H68" s="334">
        <f t="shared" si="0"/>
        <v>1.0513697283058692</v>
      </c>
    </row>
    <row r="69" spans="1:8" ht="27" customHeight="1" thickBot="1" x14ac:dyDescent="0.45">
      <c r="A69" s="328" t="s">
        <v>103</v>
      </c>
      <c r="B69" s="343">
        <f>(D47*B68)/B56*B57</f>
        <v>151.72937499999995</v>
      </c>
      <c r="C69" s="410"/>
      <c r="D69" s="414"/>
      <c r="E69" s="332">
        <v>2</v>
      </c>
      <c r="F69" s="227">
        <v>8248786</v>
      </c>
      <c r="G69" s="338">
        <f>IF(ISBLANK(F69),"-",(F69/$D$50*$D$47*$B$68)*($B$57/$D$68))</f>
        <v>125.76159663022094</v>
      </c>
      <c r="H69" s="334">
        <f t="shared" si="0"/>
        <v>1.0480133052518412</v>
      </c>
    </row>
    <row r="70" spans="1:8" ht="26.25" customHeight="1" x14ac:dyDescent="0.4">
      <c r="A70" s="423" t="s">
        <v>77</v>
      </c>
      <c r="B70" s="424"/>
      <c r="C70" s="410"/>
      <c r="D70" s="414"/>
      <c r="E70" s="332">
        <v>3</v>
      </c>
      <c r="F70" s="227">
        <v>8242923</v>
      </c>
      <c r="G70" s="338">
        <f>IF(ISBLANK(F70),"-",(F70/$D$50*$D$47*$B$68)*($B$57/$D$68))</f>
        <v>125.67220890200944</v>
      </c>
      <c r="H70" s="334">
        <f t="shared" si="0"/>
        <v>1.0472684075167453</v>
      </c>
    </row>
    <row r="71" spans="1:8" ht="27" customHeight="1" thickBot="1" x14ac:dyDescent="0.45">
      <c r="A71" s="425"/>
      <c r="B71" s="426"/>
      <c r="C71" s="412"/>
      <c r="D71" s="415"/>
      <c r="E71" s="335">
        <v>4</v>
      </c>
      <c r="F71" s="234"/>
      <c r="G71" s="340" t="str">
        <f>IF(ISBLANK(F71),"-",(F71/$D$50*$D$47*$B$68)*($B$57/$D$68))</f>
        <v>-</v>
      </c>
      <c r="H71" s="344" t="str">
        <f t="shared" si="0"/>
        <v>-</v>
      </c>
    </row>
    <row r="72" spans="1:8" ht="26.25" customHeight="1" x14ac:dyDescent="0.4">
      <c r="A72" s="254"/>
      <c r="B72" s="254"/>
      <c r="C72" s="254"/>
      <c r="D72" s="254"/>
      <c r="E72" s="254"/>
      <c r="F72" s="345" t="s">
        <v>70</v>
      </c>
      <c r="G72" s="78">
        <f>AVERAGE(G60:G71)</f>
        <v>125.27689007304168</v>
      </c>
      <c r="H72" s="235">
        <f>AVERAGE(H60:H71)</f>
        <v>1.0439740839420137</v>
      </c>
    </row>
    <row r="73" spans="1:8" ht="26.25" customHeight="1" x14ac:dyDescent="0.4">
      <c r="C73" s="254"/>
      <c r="D73" s="254"/>
      <c r="E73" s="254"/>
      <c r="F73" s="346" t="s">
        <v>83</v>
      </c>
      <c r="G73" s="236">
        <f>STDEV(G60:G71)/G72</f>
        <v>1.1288320026644202E-2</v>
      </c>
      <c r="H73" s="236">
        <f>STDEV(H60:H71)/H72</f>
        <v>1.1288320026644214E-2</v>
      </c>
    </row>
    <row r="74" spans="1:8" ht="27" customHeight="1" x14ac:dyDescent="0.4">
      <c r="A74" s="254"/>
      <c r="B74" s="254"/>
      <c r="C74" s="254"/>
      <c r="D74" s="254"/>
      <c r="E74" s="94"/>
      <c r="F74" s="347" t="s">
        <v>19</v>
      </c>
      <c r="G74" s="237">
        <f>COUNT(G60:G71)</f>
        <v>9</v>
      </c>
      <c r="H74" s="237">
        <f>COUNT(H60:H71)</f>
        <v>9</v>
      </c>
    </row>
    <row r="76" spans="1:8" ht="26.25" customHeight="1" x14ac:dyDescent="0.4">
      <c r="A76" s="185" t="s">
        <v>104</v>
      </c>
      <c r="B76" s="185" t="s">
        <v>105</v>
      </c>
      <c r="C76" s="399" t="str">
        <f>B20</f>
        <v>Artemether &amp; Lumefantrine</v>
      </c>
      <c r="D76" s="399"/>
      <c r="E76" s="82" t="s">
        <v>106</v>
      </c>
      <c r="F76" s="82"/>
      <c r="G76" s="245">
        <f>H72</f>
        <v>1.0439740839420137</v>
      </c>
      <c r="H76" s="254"/>
    </row>
    <row r="77" spans="1:8" ht="18.75" x14ac:dyDescent="0.3">
      <c r="A77" s="86" t="s">
        <v>107</v>
      </c>
      <c r="B77" s="86" t="s">
        <v>108</v>
      </c>
    </row>
    <row r="78" spans="1:8" ht="18.75" x14ac:dyDescent="0.3">
      <c r="A78" s="86"/>
      <c r="B78" s="86"/>
    </row>
    <row r="79" spans="1:8" ht="26.25" customHeight="1" x14ac:dyDescent="0.4">
      <c r="A79" s="185" t="s">
        <v>4</v>
      </c>
      <c r="B79" s="432" t="str">
        <f>B26</f>
        <v xml:space="preserve">Lumefantrine </v>
      </c>
      <c r="C79" s="432"/>
    </row>
    <row r="80" spans="1:8" ht="26.25" customHeight="1" x14ac:dyDescent="0.4">
      <c r="A80" s="185" t="s">
        <v>47</v>
      </c>
      <c r="B80" s="432" t="str">
        <f>B27</f>
        <v>WS/14/046</v>
      </c>
      <c r="C80" s="432"/>
    </row>
    <row r="81" spans="1:12" ht="27" customHeight="1" x14ac:dyDescent="0.4">
      <c r="A81" s="185" t="s">
        <v>6</v>
      </c>
      <c r="B81" s="222">
        <f>B28</f>
        <v>100.2</v>
      </c>
    </row>
    <row r="82" spans="1:12" s="15" customFormat="1" ht="27" customHeight="1" x14ac:dyDescent="0.4">
      <c r="A82" s="185" t="s">
        <v>48</v>
      </c>
      <c r="B82" s="222">
        <v>0</v>
      </c>
      <c r="C82" s="401" t="s">
        <v>49</v>
      </c>
      <c r="D82" s="402"/>
      <c r="E82" s="402"/>
      <c r="F82" s="402"/>
      <c r="G82" s="403"/>
      <c r="I82" s="91"/>
      <c r="J82" s="91"/>
      <c r="K82" s="91"/>
      <c r="L82" s="91"/>
    </row>
    <row r="83" spans="1:12" s="15" customFormat="1" ht="19.5" customHeight="1" x14ac:dyDescent="0.3">
      <c r="A83" s="185" t="s">
        <v>50</v>
      </c>
      <c r="B83" s="254">
        <f>B81-B82</f>
        <v>100.2</v>
      </c>
      <c r="C83" s="299"/>
      <c r="D83" s="299"/>
      <c r="E83" s="299"/>
      <c r="F83" s="299"/>
      <c r="G83" s="300"/>
      <c r="I83" s="91"/>
      <c r="J83" s="91"/>
      <c r="K83" s="91"/>
      <c r="L83" s="91"/>
    </row>
    <row r="84" spans="1:12" s="15" customFormat="1" ht="27" customHeight="1" x14ac:dyDescent="0.4">
      <c r="A84" s="185" t="s">
        <v>51</v>
      </c>
      <c r="B84" s="223">
        <v>1</v>
      </c>
      <c r="C84" s="406" t="s">
        <v>109</v>
      </c>
      <c r="D84" s="407"/>
      <c r="E84" s="407"/>
      <c r="F84" s="407"/>
      <c r="G84" s="407"/>
      <c r="H84" s="408"/>
      <c r="I84" s="91"/>
      <c r="J84" s="91"/>
      <c r="K84" s="91"/>
      <c r="L84" s="91"/>
    </row>
    <row r="85" spans="1:12" s="15" customFormat="1" ht="27" customHeight="1" x14ac:dyDescent="0.4">
      <c r="A85" s="185" t="s">
        <v>53</v>
      </c>
      <c r="B85" s="223">
        <v>1</v>
      </c>
      <c r="C85" s="406" t="s">
        <v>110</v>
      </c>
      <c r="D85" s="407"/>
      <c r="E85" s="407"/>
      <c r="F85" s="407"/>
      <c r="G85" s="407"/>
      <c r="H85" s="408"/>
      <c r="I85" s="91"/>
      <c r="J85" s="91"/>
      <c r="K85" s="91"/>
      <c r="L85" s="91"/>
    </row>
    <row r="86" spans="1:12" s="15" customFormat="1" ht="18.75" x14ac:dyDescent="0.3">
      <c r="A86" s="185"/>
      <c r="B86" s="94"/>
      <c r="C86" s="97"/>
      <c r="D86" s="97"/>
      <c r="E86" s="97"/>
      <c r="F86" s="97"/>
      <c r="G86" s="97"/>
      <c r="H86" s="97"/>
      <c r="I86" s="91"/>
      <c r="J86" s="91"/>
      <c r="K86" s="91"/>
      <c r="L86" s="91"/>
    </row>
    <row r="87" spans="1:12" s="15" customFormat="1" ht="18.75" x14ac:dyDescent="0.3">
      <c r="A87" s="185" t="s">
        <v>55</v>
      </c>
      <c r="B87" s="98">
        <f>B84/B85</f>
        <v>1</v>
      </c>
      <c r="C87" s="82" t="s">
        <v>56</v>
      </c>
      <c r="D87" s="82"/>
      <c r="E87" s="82"/>
      <c r="F87" s="82"/>
      <c r="G87" s="82"/>
      <c r="I87" s="91"/>
      <c r="J87" s="91"/>
      <c r="K87" s="91"/>
      <c r="L87" s="91"/>
    </row>
    <row r="88" spans="1:12" ht="19.5" customHeight="1" x14ac:dyDescent="0.3">
      <c r="A88" s="86"/>
      <c r="B88" s="86"/>
    </row>
    <row r="89" spans="1:12" ht="27" customHeight="1" x14ac:dyDescent="0.4">
      <c r="A89" s="302" t="s">
        <v>57</v>
      </c>
      <c r="B89" s="224">
        <v>50</v>
      </c>
      <c r="D89" s="252" t="s">
        <v>58</v>
      </c>
      <c r="E89" s="256"/>
      <c r="F89" s="404" t="s">
        <v>59</v>
      </c>
      <c r="G89" s="405"/>
    </row>
    <row r="90" spans="1:12" ht="27" customHeight="1" x14ac:dyDescent="0.4">
      <c r="A90" s="303" t="s">
        <v>142</v>
      </c>
      <c r="B90" s="225">
        <v>5</v>
      </c>
      <c r="C90" s="255" t="s">
        <v>61</v>
      </c>
      <c r="D90" s="103" t="s">
        <v>62</v>
      </c>
      <c r="E90" s="160" t="s">
        <v>63</v>
      </c>
      <c r="F90" s="103" t="s">
        <v>62</v>
      </c>
      <c r="G90" s="104" t="s">
        <v>63</v>
      </c>
      <c r="I90" s="64" t="s">
        <v>64</v>
      </c>
    </row>
    <row r="91" spans="1:12" ht="26.25" customHeight="1" x14ac:dyDescent="0.4">
      <c r="A91" s="303" t="s">
        <v>143</v>
      </c>
      <c r="B91" s="225">
        <v>100</v>
      </c>
      <c r="C91" s="348">
        <v>1</v>
      </c>
      <c r="D91" s="226">
        <v>0.77449999999999997</v>
      </c>
      <c r="E91" s="349">
        <f>IF(ISBLANK(D91),"-",$D$101/$D$98*D91)</f>
        <v>0.68201831630855936</v>
      </c>
      <c r="F91" s="226">
        <v>0.67220000000000002</v>
      </c>
      <c r="G91" s="350">
        <f>IF(ISBLANK(F91),"-",$D$101/$F$98*F91)</f>
        <v>0.69669402000844705</v>
      </c>
      <c r="I91" s="307"/>
    </row>
    <row r="92" spans="1:12" ht="26.25" customHeight="1" x14ac:dyDescent="0.4">
      <c r="A92" s="303" t="s">
        <v>144</v>
      </c>
      <c r="B92" s="225">
        <v>1</v>
      </c>
      <c r="C92" s="254">
        <v>2</v>
      </c>
      <c r="D92" s="227">
        <v>0.78859999999999997</v>
      </c>
      <c r="E92" s="351">
        <f>IF(ISBLANK(D92),"-",$D$101/$D$98*D92)</f>
        <v>0.6944346600915815</v>
      </c>
      <c r="F92" s="227">
        <v>0.6734</v>
      </c>
      <c r="G92" s="352">
        <f>IF(ISBLANK(F92),"-",$D$101/$F$98*F92)</f>
        <v>0.69793774631610861</v>
      </c>
      <c r="I92" s="434">
        <f>ABS((F96/D96*D95)-F95)/D95</f>
        <v>9.3518226586195696E-3</v>
      </c>
    </row>
    <row r="93" spans="1:12" ht="26.25" customHeight="1" x14ac:dyDescent="0.4">
      <c r="A93" s="303" t="s">
        <v>145</v>
      </c>
      <c r="B93" s="225">
        <v>1</v>
      </c>
      <c r="C93" s="254">
        <v>3</v>
      </c>
      <c r="D93" s="227">
        <v>0.78769999999999996</v>
      </c>
      <c r="E93" s="351">
        <f>IF(ISBLANK(D93),"-",$D$101/$D$98*D93)</f>
        <v>0.69364212750968646</v>
      </c>
      <c r="F93" s="227">
        <v>0.67369999999999997</v>
      </c>
      <c r="G93" s="352">
        <f>IF(ISBLANK(F93),"-",$D$101/$F$98*F93)</f>
        <v>0.69824867789302403</v>
      </c>
      <c r="I93" s="434"/>
    </row>
    <row r="94" spans="1:12" ht="27" customHeight="1" x14ac:dyDescent="0.4">
      <c r="A94" s="303" t="s">
        <v>146</v>
      </c>
      <c r="B94" s="225">
        <v>1</v>
      </c>
      <c r="C94" s="353">
        <v>4</v>
      </c>
      <c r="D94" s="228"/>
      <c r="E94" s="354" t="str">
        <f>IF(ISBLANK(D94),"-",$D$101/$D$98*D94)</f>
        <v>-</v>
      </c>
      <c r="F94" s="238"/>
      <c r="G94" s="355" t="str">
        <f>IF(ISBLANK(F94),"-",$D$101/$F$98*F94)</f>
        <v>-</v>
      </c>
      <c r="I94" s="313"/>
    </row>
    <row r="95" spans="1:12" ht="27" customHeight="1" x14ac:dyDescent="0.4">
      <c r="A95" s="303" t="s">
        <v>147</v>
      </c>
      <c r="B95" s="225">
        <v>1</v>
      </c>
      <c r="C95" s="185" t="s">
        <v>70</v>
      </c>
      <c r="D95" s="388">
        <f>AVERAGE(D91:D94)</f>
        <v>0.78359999999999996</v>
      </c>
      <c r="E95" s="135">
        <f>AVERAGE(E91:E94)</f>
        <v>0.69003170130327574</v>
      </c>
      <c r="F95" s="389">
        <f>AVERAGE(F91:F94)</f>
        <v>0.67310000000000014</v>
      </c>
      <c r="G95" s="69">
        <f>AVERAGE(G91:G94)</f>
        <v>0.69762681473919319</v>
      </c>
    </row>
    <row r="96" spans="1:12" ht="26.25" customHeight="1" x14ac:dyDescent="0.4">
      <c r="A96" s="303" t="s">
        <v>148</v>
      </c>
      <c r="B96" s="222">
        <v>1</v>
      </c>
      <c r="C96" s="356" t="s">
        <v>111</v>
      </c>
      <c r="D96" s="259">
        <v>27.2</v>
      </c>
      <c r="E96" s="82"/>
      <c r="F96" s="230">
        <v>23.11</v>
      </c>
    </row>
    <row r="97" spans="1:10" ht="26.25" customHeight="1" x14ac:dyDescent="0.4">
      <c r="A97" s="303" t="s">
        <v>149</v>
      </c>
      <c r="B97" s="222">
        <v>1</v>
      </c>
      <c r="C97" s="357" t="s">
        <v>112</v>
      </c>
      <c r="D97" s="358">
        <f>D96*$B$87</f>
        <v>27.2</v>
      </c>
      <c r="E97" s="254"/>
      <c r="F97" s="317">
        <f>F96*$B$87</f>
        <v>23.11</v>
      </c>
    </row>
    <row r="98" spans="1:10" ht="19.5" customHeight="1" x14ac:dyDescent="0.3">
      <c r="A98" s="303" t="s">
        <v>75</v>
      </c>
      <c r="B98" s="254">
        <f>(B97/B96)*(B95/B94)*(B93/B92)*(B91/B90)*B89</f>
        <v>1000</v>
      </c>
      <c r="C98" s="357" t="s">
        <v>113</v>
      </c>
      <c r="D98" s="359">
        <f>D97*$B$83/100</f>
        <v>27.2544</v>
      </c>
      <c r="E98" s="94"/>
      <c r="F98" s="318">
        <f>F97*$B$83/100</f>
        <v>23.156219999999998</v>
      </c>
    </row>
    <row r="99" spans="1:10" ht="19.5" customHeight="1" x14ac:dyDescent="0.3">
      <c r="A99" s="417" t="s">
        <v>77</v>
      </c>
      <c r="B99" s="421"/>
      <c r="C99" s="357" t="s">
        <v>114</v>
      </c>
      <c r="D99" s="360">
        <f>D98/$B$98</f>
        <v>2.7254400000000002E-2</v>
      </c>
      <c r="E99" s="94"/>
      <c r="F99" s="321">
        <f>F98/$B$98</f>
        <v>2.3156219999999998E-2</v>
      </c>
      <c r="H99" s="281"/>
    </row>
    <row r="100" spans="1:10" ht="19.5" customHeight="1" x14ac:dyDescent="0.3">
      <c r="A100" s="419"/>
      <c r="B100" s="422"/>
      <c r="C100" s="357" t="s">
        <v>79</v>
      </c>
      <c r="D100" s="361">
        <f>$B$56/$B$116</f>
        <v>2.4E-2</v>
      </c>
      <c r="F100" s="325"/>
      <c r="G100" s="362"/>
      <c r="H100" s="281"/>
    </row>
    <row r="101" spans="1:10" ht="18.75" x14ac:dyDescent="0.3">
      <c r="C101" s="357" t="s">
        <v>80</v>
      </c>
      <c r="D101" s="358">
        <f>D100*$B$98</f>
        <v>24</v>
      </c>
      <c r="F101" s="325"/>
      <c r="H101" s="281"/>
    </row>
    <row r="102" spans="1:10" ht="19.5" customHeight="1" x14ac:dyDescent="0.3">
      <c r="C102" s="363" t="s">
        <v>81</v>
      </c>
      <c r="D102" s="364">
        <f>D101/B34</f>
        <v>24</v>
      </c>
      <c r="F102" s="149"/>
      <c r="H102" s="281"/>
      <c r="J102" s="136"/>
    </row>
    <row r="103" spans="1:10" ht="18.75" x14ac:dyDescent="0.3">
      <c r="C103" s="365" t="s">
        <v>115</v>
      </c>
      <c r="D103" s="211">
        <f>AVERAGE(E91:E94,G91:G94)</f>
        <v>0.69382925802123452</v>
      </c>
      <c r="F103" s="149"/>
      <c r="G103" s="362"/>
      <c r="H103" s="281"/>
      <c r="J103" s="366"/>
    </row>
    <row r="104" spans="1:10" ht="18.75" x14ac:dyDescent="0.3">
      <c r="C104" s="346" t="s">
        <v>83</v>
      </c>
      <c r="D104" s="137">
        <f>STDEV(E91:E94,G91:G94)/D103</f>
        <v>8.7555087101878967E-3</v>
      </c>
      <c r="F104" s="149"/>
      <c r="H104" s="281"/>
      <c r="J104" s="366"/>
    </row>
    <row r="105" spans="1:10" ht="19.5" customHeight="1" x14ac:dyDescent="0.3">
      <c r="C105" s="347" t="s">
        <v>19</v>
      </c>
      <c r="D105" s="139">
        <f>COUNT(E91:E94,G91:G94)</f>
        <v>6</v>
      </c>
      <c r="F105" s="149"/>
      <c r="H105" s="281"/>
      <c r="J105" s="366"/>
    </row>
    <row r="106" spans="1:10" ht="19.5" customHeight="1" x14ac:dyDescent="0.3">
      <c r="A106" s="80"/>
      <c r="B106" s="80"/>
      <c r="C106" s="80"/>
      <c r="D106" s="80"/>
      <c r="E106" s="80"/>
    </row>
    <row r="107" spans="1:10" ht="26.25" customHeight="1" x14ac:dyDescent="0.4">
      <c r="A107" s="302" t="s">
        <v>116</v>
      </c>
      <c r="B107" s="224">
        <v>1000</v>
      </c>
      <c r="C107" s="252" t="s">
        <v>117</v>
      </c>
      <c r="D107" s="141" t="s">
        <v>62</v>
      </c>
      <c r="E107" s="70" t="s">
        <v>118</v>
      </c>
      <c r="F107" s="143" t="s">
        <v>119</v>
      </c>
    </row>
    <row r="108" spans="1:10" ht="26.25" customHeight="1" x14ac:dyDescent="0.4">
      <c r="A108" s="303" t="s">
        <v>158</v>
      </c>
      <c r="B108" s="225">
        <v>10</v>
      </c>
      <c r="C108" s="367">
        <v>1</v>
      </c>
      <c r="D108" s="260">
        <v>0.68969999999999998</v>
      </c>
      <c r="E108" s="368">
        <f t="shared" ref="E108:E113" si="1">IF(ISBLANK(D108),"-",D108/$D$103*$D$100*$B$116)</f>
        <v>119.28583155463735</v>
      </c>
      <c r="F108" s="369">
        <f t="shared" ref="F108:F113" si="2">IF(ISBLANK(D108), "-", E108/$B$56)</f>
        <v>0.99404859628864461</v>
      </c>
    </row>
    <row r="109" spans="1:10" ht="26.25" customHeight="1" x14ac:dyDescent="0.4">
      <c r="A109" s="303" t="s">
        <v>151</v>
      </c>
      <c r="B109" s="225">
        <v>50</v>
      </c>
      <c r="C109" s="367">
        <v>2</v>
      </c>
      <c r="D109" s="260">
        <v>0.66080000000000005</v>
      </c>
      <c r="E109" s="370">
        <f t="shared" si="1"/>
        <v>114.28748367595242</v>
      </c>
      <c r="F109" s="371">
        <f t="shared" si="2"/>
        <v>0.95239569729960349</v>
      </c>
    </row>
    <row r="110" spans="1:10" ht="26.25" customHeight="1" x14ac:dyDescent="0.4">
      <c r="A110" s="303" t="s">
        <v>152</v>
      </c>
      <c r="B110" s="225">
        <v>1</v>
      </c>
      <c r="C110" s="367">
        <v>3</v>
      </c>
      <c r="D110" s="260">
        <v>0.71109999999999995</v>
      </c>
      <c r="E110" s="370">
        <f t="shared" si="1"/>
        <v>122.98703032985735</v>
      </c>
      <c r="F110" s="371">
        <f t="shared" si="2"/>
        <v>1.024891919415478</v>
      </c>
    </row>
    <row r="111" spans="1:10" ht="26.25" customHeight="1" x14ac:dyDescent="0.4">
      <c r="A111" s="303" t="s">
        <v>153</v>
      </c>
      <c r="B111" s="225">
        <v>1</v>
      </c>
      <c r="C111" s="367">
        <v>4</v>
      </c>
      <c r="D111" s="260">
        <v>0.69750000000000001</v>
      </c>
      <c r="E111" s="370">
        <f t="shared" si="1"/>
        <v>120.63486662224089</v>
      </c>
      <c r="F111" s="371">
        <f t="shared" si="2"/>
        <v>1.0052905551853408</v>
      </c>
    </row>
    <row r="112" spans="1:10" ht="26.25" customHeight="1" x14ac:dyDescent="0.4">
      <c r="A112" s="303" t="s">
        <v>154</v>
      </c>
      <c r="B112" s="225">
        <v>1</v>
      </c>
      <c r="C112" s="367">
        <v>5</v>
      </c>
      <c r="D112" s="260">
        <v>0.70289999999999997</v>
      </c>
      <c r="E112" s="370">
        <f t="shared" si="1"/>
        <v>121.5688139767357</v>
      </c>
      <c r="F112" s="371">
        <f t="shared" si="2"/>
        <v>1.0130734498061309</v>
      </c>
    </row>
    <row r="113" spans="1:10" ht="26.25" customHeight="1" x14ac:dyDescent="0.4">
      <c r="A113" s="303" t="s">
        <v>155</v>
      </c>
      <c r="B113" s="225">
        <v>1</v>
      </c>
      <c r="C113" s="372">
        <v>6</v>
      </c>
      <c r="D113" s="261">
        <v>0.69279999999999997</v>
      </c>
      <c r="E113" s="373">
        <f t="shared" si="1"/>
        <v>119.82198651740286</v>
      </c>
      <c r="F113" s="374">
        <f t="shared" si="2"/>
        <v>0.99851655431169051</v>
      </c>
    </row>
    <row r="114" spans="1:10" ht="26.25" customHeight="1" x14ac:dyDescent="0.4">
      <c r="A114" s="303" t="s">
        <v>156</v>
      </c>
      <c r="B114" s="225">
        <v>1</v>
      </c>
      <c r="C114" s="367"/>
      <c r="D114" s="254"/>
      <c r="E114" s="82"/>
      <c r="F114" s="375"/>
    </row>
    <row r="115" spans="1:10" ht="26.25" customHeight="1" x14ac:dyDescent="0.4">
      <c r="A115" s="303" t="s">
        <v>157</v>
      </c>
      <c r="B115" s="225">
        <v>1</v>
      </c>
      <c r="C115" s="367"/>
      <c r="D115" s="376" t="s">
        <v>70</v>
      </c>
      <c r="E115" s="79">
        <f>AVERAGE(E108:E113)</f>
        <v>119.76433544613775</v>
      </c>
      <c r="F115" s="242">
        <f>AVERAGE(F108:F113)</f>
        <v>0.99803612871781466</v>
      </c>
    </row>
    <row r="116" spans="1:10" ht="27" customHeight="1" x14ac:dyDescent="0.4">
      <c r="A116" s="303" t="s">
        <v>101</v>
      </c>
      <c r="B116" s="195">
        <f>(B115/B114)*(B113/B112)*(B111/B110)*(B109/B108)*B107</f>
        <v>5000</v>
      </c>
      <c r="C116" s="377"/>
      <c r="D116" s="185" t="s">
        <v>83</v>
      </c>
      <c r="E116" s="243">
        <f>STDEV(E108:E113)/E115</f>
        <v>2.4945420771641774E-2</v>
      </c>
      <c r="F116" s="243">
        <f>STDEV(F108:F113)/F115</f>
        <v>2.4945420771641788E-2</v>
      </c>
      <c r="I116" s="82"/>
    </row>
    <row r="117" spans="1:10" ht="27" customHeight="1" x14ac:dyDescent="0.4">
      <c r="A117" s="417" t="s">
        <v>77</v>
      </c>
      <c r="B117" s="418"/>
      <c r="C117" s="378"/>
      <c r="D117" s="379" t="s">
        <v>19</v>
      </c>
      <c r="E117" s="244">
        <f>COUNT(E108:E113)</f>
        <v>6</v>
      </c>
      <c r="F117" s="244">
        <f>COUNT(F108:F113)</f>
        <v>6</v>
      </c>
      <c r="I117" s="82"/>
      <c r="J117" s="366"/>
    </row>
    <row r="118" spans="1:10" ht="19.5" customHeight="1" x14ac:dyDescent="0.3">
      <c r="A118" s="419"/>
      <c r="B118" s="420"/>
      <c r="C118" s="82"/>
      <c r="D118" s="82"/>
      <c r="E118" s="82"/>
      <c r="F118" s="254"/>
      <c r="G118" s="82"/>
      <c r="H118" s="82"/>
      <c r="I118" s="82"/>
    </row>
    <row r="119" spans="1:10" ht="18.75" x14ac:dyDescent="0.3">
      <c r="A119" s="71"/>
      <c r="B119" s="97"/>
      <c r="C119" s="82"/>
      <c r="D119" s="82"/>
      <c r="E119" s="82"/>
      <c r="F119" s="254"/>
      <c r="G119" s="82"/>
      <c r="H119" s="82"/>
      <c r="I119" s="82"/>
    </row>
    <row r="120" spans="1:10" ht="26.25" customHeight="1" x14ac:dyDescent="0.4">
      <c r="A120" s="185" t="s">
        <v>104</v>
      </c>
      <c r="B120" s="185" t="s">
        <v>121</v>
      </c>
      <c r="C120" s="399" t="str">
        <f>B20</f>
        <v>Artemether &amp; Lumefantrine</v>
      </c>
      <c r="D120" s="399"/>
      <c r="E120" s="82" t="s">
        <v>122</v>
      </c>
      <c r="F120" s="82"/>
      <c r="G120" s="245">
        <f>F115</f>
        <v>0.99803612871781466</v>
      </c>
      <c r="H120" s="82"/>
      <c r="I120" s="82"/>
    </row>
    <row r="121" spans="1:10" ht="19.5" customHeight="1" x14ac:dyDescent="0.3">
      <c r="A121" s="253"/>
      <c r="B121" s="253"/>
      <c r="C121" s="380"/>
      <c r="D121" s="380"/>
      <c r="E121" s="380"/>
      <c r="F121" s="380"/>
      <c r="G121" s="380"/>
      <c r="H121" s="380"/>
    </row>
    <row r="122" spans="1:10" ht="18.75" x14ac:dyDescent="0.3">
      <c r="B122" s="400" t="s">
        <v>25</v>
      </c>
      <c r="C122" s="400"/>
      <c r="E122" s="255" t="s">
        <v>26</v>
      </c>
      <c r="F122" s="255"/>
      <c r="G122" s="400" t="s">
        <v>27</v>
      </c>
      <c r="H122" s="400"/>
    </row>
    <row r="123" spans="1:10" ht="69.95" customHeight="1" x14ac:dyDescent="0.3">
      <c r="A123" s="185" t="s">
        <v>28</v>
      </c>
      <c r="B123" s="381"/>
      <c r="C123" s="381"/>
      <c r="E123" s="381"/>
      <c r="F123" s="82"/>
      <c r="G123" s="381"/>
      <c r="H123" s="381"/>
    </row>
    <row r="124" spans="1:10" ht="69.95" customHeight="1" x14ac:dyDescent="0.3">
      <c r="A124" s="185" t="s">
        <v>29</v>
      </c>
      <c r="B124" s="181"/>
      <c r="C124" s="181"/>
      <c r="E124" s="181"/>
      <c r="F124" s="82"/>
      <c r="G124" s="181"/>
      <c r="H124" s="181"/>
    </row>
    <row r="125" spans="1:10" ht="18.75" x14ac:dyDescent="0.3">
      <c r="A125" s="254"/>
      <c r="B125" s="254"/>
      <c r="C125" s="254"/>
      <c r="D125" s="254"/>
      <c r="E125" s="254"/>
      <c r="F125" s="94"/>
      <c r="G125" s="254"/>
      <c r="H125" s="254"/>
      <c r="I125" s="82"/>
    </row>
    <row r="126" spans="1:10" ht="18.75" x14ac:dyDescent="0.3">
      <c r="A126" s="254"/>
      <c r="B126" s="254"/>
      <c r="C126" s="254"/>
      <c r="D126" s="254"/>
      <c r="E126" s="254"/>
      <c r="F126" s="94"/>
      <c r="G126" s="254"/>
      <c r="H126" s="254"/>
      <c r="I126" s="82"/>
    </row>
    <row r="127" spans="1:10" ht="18.75" x14ac:dyDescent="0.3">
      <c r="A127" s="254"/>
      <c r="B127" s="254"/>
      <c r="C127" s="254"/>
      <c r="D127" s="254"/>
      <c r="E127" s="254"/>
      <c r="F127" s="94"/>
      <c r="G127" s="254"/>
      <c r="H127" s="254"/>
      <c r="I127" s="82"/>
    </row>
    <row r="128" spans="1:10" ht="18.75" x14ac:dyDescent="0.3">
      <c r="A128" s="254"/>
      <c r="B128" s="254"/>
      <c r="C128" s="254"/>
      <c r="D128" s="254"/>
      <c r="E128" s="254"/>
      <c r="F128" s="94"/>
      <c r="G128" s="254"/>
      <c r="H128" s="254"/>
      <c r="I128" s="82"/>
    </row>
    <row r="129" spans="1:9" ht="18.75" x14ac:dyDescent="0.3">
      <c r="A129" s="254"/>
      <c r="B129" s="254"/>
      <c r="C129" s="254"/>
      <c r="D129" s="254"/>
      <c r="E129" s="254"/>
      <c r="F129" s="94"/>
      <c r="G129" s="254"/>
      <c r="H129" s="254"/>
      <c r="I129" s="82"/>
    </row>
    <row r="130" spans="1:9" ht="18.75" x14ac:dyDescent="0.3">
      <c r="A130" s="254"/>
      <c r="B130" s="254"/>
      <c r="C130" s="254"/>
      <c r="D130" s="254"/>
      <c r="E130" s="254"/>
      <c r="F130" s="94"/>
      <c r="G130" s="254"/>
      <c r="H130" s="254"/>
      <c r="I130" s="82"/>
    </row>
    <row r="131" spans="1:9" ht="18.75" x14ac:dyDescent="0.3">
      <c r="A131" s="254"/>
      <c r="B131" s="254"/>
      <c r="C131" s="254"/>
      <c r="D131" s="254"/>
      <c r="E131" s="254"/>
      <c r="F131" s="94"/>
      <c r="G131" s="254"/>
      <c r="H131" s="254"/>
      <c r="I131" s="82"/>
    </row>
    <row r="132" spans="1:9" ht="18.75" x14ac:dyDescent="0.3">
      <c r="A132" s="254"/>
      <c r="B132" s="254"/>
      <c r="C132" s="254"/>
      <c r="D132" s="254"/>
      <c r="E132" s="254"/>
      <c r="F132" s="94"/>
      <c r="G132" s="254"/>
      <c r="H132" s="254"/>
      <c r="I132" s="82"/>
    </row>
    <row r="133" spans="1:9" ht="18.75" x14ac:dyDescent="0.3">
      <c r="A133" s="254"/>
      <c r="B133" s="254"/>
      <c r="C133" s="254"/>
      <c r="D133" s="254"/>
      <c r="E133" s="254"/>
      <c r="F133" s="94"/>
      <c r="G133" s="254"/>
      <c r="H133" s="254"/>
      <c r="I133" s="82"/>
    </row>
    <row r="250" spans="1:1" x14ac:dyDescent="0.3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 </vt:lpstr>
      <vt:lpstr>LUMEFANTRINE</vt:lpstr>
      <vt:lpstr>'ARTEMETHER '!Print_Area</vt:lpstr>
      <vt:lpstr>SST!Print_Area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2015-12-22T13:46:43Z</cp:lastPrinted>
  <dcterms:created xsi:type="dcterms:W3CDTF">2005-07-05T10:19:27Z</dcterms:created>
  <dcterms:modified xsi:type="dcterms:W3CDTF">2015-12-23T10:15:31Z</dcterms:modified>
  <cp:category/>
</cp:coreProperties>
</file>