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5" r:id="rId3"/>
    <sheet name="LUMEFANTRINE" sheetId="4" r:id="rId4"/>
  </sheets>
  <definedNames>
    <definedName name="_xlnm.Print_Area" localSheetId="2">'ARTEMETHER '!$A$1:$I$150</definedName>
    <definedName name="_xlnm.Print_Area" localSheetId="0">SST!$A$1:$E$74</definedName>
    <definedName name="_xlnm.Print_Area" localSheetId="1">Uniformity!$A$1:$G$60</definedName>
  </definedNames>
  <calcPr calcId="144525"/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66" i="1"/>
  <c r="E64" i="1"/>
  <c r="D64" i="1"/>
  <c r="C64" i="1"/>
  <c r="B64" i="1"/>
  <c r="B65" i="1" s="1"/>
  <c r="B33" i="1" l="1"/>
  <c r="B32" i="1"/>
  <c r="B31" i="1"/>
  <c r="B30" i="1"/>
  <c r="F42" i="4" l="1"/>
  <c r="D42" i="4"/>
  <c r="E41" i="4"/>
  <c r="B12" i="1"/>
  <c r="B11" i="1"/>
  <c r="B10" i="1"/>
  <c r="B9" i="1"/>
  <c r="B8" i="1"/>
  <c r="C19" i="2"/>
  <c r="C18" i="2"/>
  <c r="B23" i="4"/>
  <c r="B22" i="4"/>
  <c r="F42" i="5"/>
  <c r="D42" i="5"/>
  <c r="F96" i="5" l="1"/>
  <c r="D96" i="5"/>
  <c r="G95" i="5"/>
  <c r="E95" i="5"/>
  <c r="C138" i="5"/>
  <c r="B134" i="5"/>
  <c r="C121" i="5"/>
  <c r="B117" i="5"/>
  <c r="D101" i="5"/>
  <c r="D102" i="5" s="1"/>
  <c r="B99" i="5"/>
  <c r="B88" i="5"/>
  <c r="D98" i="5" s="1"/>
  <c r="B83" i="5"/>
  <c r="B82" i="5"/>
  <c r="B84" i="5" s="1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B34" i="5"/>
  <c r="D44" i="5" s="1"/>
  <c r="B30" i="5"/>
  <c r="C120" i="4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I39" i="4"/>
  <c r="B34" i="4"/>
  <c r="F44" i="4" s="1"/>
  <c r="B30" i="4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44" i="1"/>
  <c r="E42" i="1"/>
  <c r="D42" i="1"/>
  <c r="C42" i="1"/>
  <c r="B42" i="1"/>
  <c r="B43" i="1" s="1"/>
  <c r="B23" i="1"/>
  <c r="E21" i="1"/>
  <c r="D21" i="1"/>
  <c r="C21" i="1"/>
  <c r="B21" i="1"/>
  <c r="B22" i="1" s="1"/>
  <c r="I92" i="4" l="1"/>
  <c r="D101" i="4"/>
  <c r="D98" i="4"/>
  <c r="D99" i="4" s="1"/>
  <c r="F45" i="4"/>
  <c r="F46" i="4" s="1"/>
  <c r="D45" i="5"/>
  <c r="D99" i="5"/>
  <c r="G41" i="4"/>
  <c r="G39" i="4"/>
  <c r="D49" i="4"/>
  <c r="D103" i="5"/>
  <c r="E93" i="4"/>
  <c r="E91" i="4"/>
  <c r="E94" i="4"/>
  <c r="D102" i="4"/>
  <c r="E92" i="4"/>
  <c r="D49" i="5"/>
  <c r="G40" i="5"/>
  <c r="D44" i="4"/>
  <c r="D45" i="4" s="1"/>
  <c r="F97" i="4"/>
  <c r="F98" i="4" s="1"/>
  <c r="F99" i="4" s="1"/>
  <c r="F44" i="5"/>
  <c r="F45" i="5" s="1"/>
  <c r="F98" i="5"/>
  <c r="F99" i="5" s="1"/>
  <c r="B57" i="5"/>
  <c r="B69" i="5" s="1"/>
  <c r="B57" i="4"/>
  <c r="B69" i="4" s="1"/>
  <c r="G38" i="4" l="1"/>
  <c r="G40" i="4"/>
  <c r="G42" i="4" s="1"/>
  <c r="D46" i="4"/>
  <c r="E39" i="4"/>
  <c r="E38" i="4"/>
  <c r="E40" i="4"/>
  <c r="F46" i="5"/>
  <c r="G41" i="5"/>
  <c r="D46" i="5"/>
  <c r="E38" i="5"/>
  <c r="E42" i="5" s="1"/>
  <c r="E41" i="5"/>
  <c r="E40" i="5"/>
  <c r="E39" i="5"/>
  <c r="F100" i="5"/>
  <c r="G93" i="5"/>
  <c r="G94" i="5"/>
  <c r="G92" i="5"/>
  <c r="D100" i="5"/>
  <c r="E93" i="5"/>
  <c r="E94" i="5"/>
  <c r="E92" i="5"/>
  <c r="G38" i="5"/>
  <c r="G39" i="5"/>
  <c r="G92" i="4"/>
  <c r="G91" i="4"/>
  <c r="G93" i="4"/>
  <c r="E95" i="4"/>
  <c r="G94" i="4"/>
  <c r="D103" i="4" l="1"/>
  <c r="E109" i="4" s="1"/>
  <c r="F109" i="4" s="1"/>
  <c r="D52" i="4"/>
  <c r="E42" i="4"/>
  <c r="D50" i="4"/>
  <c r="G71" i="4" s="1"/>
  <c r="H71" i="4" s="1"/>
  <c r="G95" i="4"/>
  <c r="D52" i="5"/>
  <c r="G42" i="5"/>
  <c r="E96" i="5"/>
  <c r="G96" i="5"/>
  <c r="D104" i="5"/>
  <c r="E126" i="5" s="1"/>
  <c r="F126" i="5" s="1"/>
  <c r="D50" i="5"/>
  <c r="G64" i="5" s="1"/>
  <c r="H64" i="5" s="1"/>
  <c r="D104" i="4"/>
  <c r="D105" i="4"/>
  <c r="D106" i="5"/>
  <c r="G66" i="4"/>
  <c r="H66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69" i="5"/>
  <c r="H69" i="5" s="1"/>
  <c r="D51" i="5"/>
  <c r="G70" i="5"/>
  <c r="H70" i="5" s="1"/>
  <c r="G61" i="5"/>
  <c r="H61" i="5" s="1"/>
  <c r="E111" i="4" l="1"/>
  <c r="F111" i="4" s="1"/>
  <c r="E110" i="4"/>
  <c r="F110" i="4" s="1"/>
  <c r="E112" i="4"/>
  <c r="F112" i="4" s="1"/>
  <c r="E113" i="4"/>
  <c r="F113" i="4" s="1"/>
  <c r="E108" i="4"/>
  <c r="G64" i="4"/>
  <c r="H64" i="4" s="1"/>
  <c r="G62" i="4"/>
  <c r="H62" i="4" s="1"/>
  <c r="G69" i="4"/>
  <c r="H69" i="4" s="1"/>
  <c r="G60" i="5"/>
  <c r="H60" i="5" s="1"/>
  <c r="G65" i="5"/>
  <c r="H65" i="5" s="1"/>
  <c r="G66" i="5"/>
  <c r="H66" i="5" s="1"/>
  <c r="G68" i="5"/>
  <c r="H68" i="5" s="1"/>
  <c r="H74" i="5" s="1"/>
  <c r="G62" i="5"/>
  <c r="H62" i="5" s="1"/>
  <c r="H72" i="5" s="1"/>
  <c r="E128" i="5"/>
  <c r="F128" i="5" s="1"/>
  <c r="E110" i="5"/>
  <c r="F110" i="5" s="1"/>
  <c r="E127" i="5"/>
  <c r="F127" i="5" s="1"/>
  <c r="E109" i="5"/>
  <c r="F109" i="5" s="1"/>
  <c r="E129" i="5"/>
  <c r="F129" i="5" s="1"/>
  <c r="E112" i="5"/>
  <c r="F112" i="5" s="1"/>
  <c r="E130" i="5"/>
  <c r="F130" i="5" s="1"/>
  <c r="E111" i="5"/>
  <c r="F111" i="5" s="1"/>
  <c r="E131" i="5"/>
  <c r="F131" i="5" s="1"/>
  <c r="E114" i="5"/>
  <c r="F114" i="5" s="1"/>
  <c r="E113" i="5"/>
  <c r="F113" i="5" s="1"/>
  <c r="D105" i="5"/>
  <c r="H60" i="4"/>
  <c r="E117" i="4" l="1"/>
  <c r="E115" i="4"/>
  <c r="E116" i="4" s="1"/>
  <c r="F108" i="4"/>
  <c r="F117" i="4" s="1"/>
  <c r="G74" i="4"/>
  <c r="G72" i="4"/>
  <c r="G73" i="4" s="1"/>
  <c r="F133" i="5"/>
  <c r="F134" i="5" s="1"/>
  <c r="F116" i="5"/>
  <c r="F117" i="5" s="1"/>
  <c r="F135" i="5"/>
  <c r="F118" i="5"/>
  <c r="H74" i="4"/>
  <c r="H72" i="4"/>
  <c r="H73" i="5"/>
  <c r="G76" i="5"/>
  <c r="F115" i="4" l="1"/>
  <c r="G120" i="4" s="1"/>
  <c r="G121" i="5"/>
  <c r="G138" i="5"/>
  <c r="G76" i="4"/>
  <c r="H73" i="4"/>
  <c r="F116" i="4" l="1"/>
</calcChain>
</file>

<file path=xl/sharedStrings.xml><?xml version="1.0" encoding="utf-8"?>
<sst xmlns="http://schemas.openxmlformats.org/spreadsheetml/2006/main" count="433" uniqueCount="144">
  <si>
    <t>HPLC System Suitability Report</t>
  </si>
  <si>
    <t>Analysis Data</t>
  </si>
  <si>
    <t>Assay</t>
  </si>
  <si>
    <t>Sample(s)</t>
  </si>
  <si>
    <t>Reference Substance:</t>
  </si>
  <si>
    <t>BI-CORTEM TABLETS</t>
  </si>
  <si>
    <t>% age Purity:</t>
  </si>
  <si>
    <t>NDQD201508191</t>
  </si>
  <si>
    <t>Weight (mg):</t>
  </si>
  <si>
    <t>Artemether &amp; Lumefantrine</t>
  </si>
  <si>
    <t>Standard Conc (mg/mL):</t>
  </si>
  <si>
    <t>Each tablet contains:
Artemether 20 mg
Lumefantrine 120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</si>
  <si>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</si>
  <si>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</si>
  <si>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</si>
  <si>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</si>
  <si>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</si>
  <si>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</si>
  <si>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</si>
  <si>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</si>
  <si>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</si>
  <si>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</si>
  <si>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</si>
  <si>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</si>
  <si>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</si>
  <si>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</si>
  <si>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</si>
  <si>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</si>
  <si>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</si>
  <si>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</si>
  <si>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</si>
  <si>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</si>
  <si>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</si>
  <si>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</si>
  <si>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</si>
  <si>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</si>
  <si>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</si>
  <si>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</si>
  <si>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</si>
  <si>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</si>
  <si>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</si>
  <si>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</si>
  <si>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</si>
  <si>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</si>
  <si>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</si>
  <si>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</si>
  <si>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</si>
  <si>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</si>
  <si>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</si>
  <si>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</si>
  <si>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</si>
  <si>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</si>
  <si>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</si>
  <si>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</si>
  <si>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</si>
  <si>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</si>
  <si>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</si>
  <si>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</si>
  <si>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</si>
  <si>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</si>
  <si>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</si>
  <si>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</si>
  <si>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</si>
  <si>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</si>
  <si>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</si>
  <si>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</si>
  <si>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</si>
  <si>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</si>
  <si>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</si>
  <si>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</si>
  <si>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</si>
  <si>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</si>
  <si>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</si>
  <si>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</si>
  <si>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</si>
  <si>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</si>
  <si>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</si>
  <si>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</si>
  <si>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</si>
  <si>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</si>
  <si>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</si>
  <si>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</si>
  <si>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</si>
  <si>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</si>
  <si>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</si>
  <si>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</si>
  <si>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</si>
  <si>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</si>
  <si>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</si>
  <si>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</si>
  <si>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</si>
  <si>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</si>
  <si>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</si>
  <si>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</si>
  <si>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</si>
  <si>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</si>
  <si>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</si>
  <si>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</si>
  <si>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</si>
  <si>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</si>
  <si>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</si>
  <si>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</si>
  <si>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</si>
  <si>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</si>
  <si>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</si>
  <si>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</si>
  <si>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</si>
  <si>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</si>
  <si>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</si>
  <si>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</si>
  <si>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</si>
  <si>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</si>
  <si>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</si>
  <si>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</si>
  <si>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</si>
  <si>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</si>
  <si>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>29TH Oct 2015</t>
  </si>
  <si>
    <t>4th Dec 2015</t>
  </si>
  <si>
    <t xml:space="preserve">Lumefantrine </t>
  </si>
  <si>
    <t>WS/14/046</t>
  </si>
  <si>
    <t xml:space="preserve"> 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</si>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</sst>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18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2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3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2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0" xfId="0" applyFont="1" applyFill="1"/>
    <xf numFmtId="2" fontId="4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0" fontId="3" fillId="2" borderId="0" xfId="0" applyFont="1" applyFill="1"/>
    <xf numFmtId="0" fontId="6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27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6" fontId="8" fillId="3" borderId="41" xfId="0" applyNumberFormat="1" applyFont="1" applyFill="1" applyBorder="1" applyAlignment="1" applyProtection="1">
      <alignment horizontal="center"/>
      <protection locked="0"/>
    </xf>
    <xf numFmtId="171" fontId="7" fillId="7" borderId="13" xfId="0" applyNumberFormat="1" applyFont="1" applyFill="1" applyBorder="1" applyAlignment="1">
      <alignment horizontal="center"/>
    </xf>
    <xf numFmtId="172" fontId="8" fillId="3" borderId="0" xfId="0" applyNumberFormat="1" applyFont="1" applyFill="1" applyAlignment="1" applyProtection="1">
      <alignment horizontal="center"/>
      <protection locked="0"/>
    </xf>
    <xf numFmtId="1" fontId="8" fillId="3" borderId="23" xfId="0" applyNumberFormat="1" applyFont="1" applyFill="1" applyBorder="1" applyAlignment="1" applyProtection="1">
      <alignment horizontal="center"/>
      <protection locked="0"/>
    </xf>
    <xf numFmtId="171" fontId="7" fillId="6" borderId="15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10" fillId="2" borderId="0" xfId="0" applyFont="1" applyFill="1" applyAlignment="1">
      <alignment horizontal="right" vertical="center" wrapText="1"/>
    </xf>
    <xf numFmtId="0" fontId="8" fillId="2" borderId="0" xfId="0" applyFont="1" applyFill="1" applyAlignment="1" applyProtection="1">
      <alignment horizontal="right"/>
      <protection locked="0"/>
    </xf>
    <xf numFmtId="2" fontId="8" fillId="7" borderId="33" xfId="0" applyNumberFormat="1" applyFont="1" applyFill="1" applyBorder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left"/>
    </xf>
    <xf numFmtId="0" fontId="9" fillId="2" borderId="0" xfId="0" applyFont="1" applyFill="1" applyAlignment="1">
      <alignment vertical="center" wrapText="1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170" fontId="7" fillId="2" borderId="0" xfId="0" applyNumberFormat="1" applyFont="1" applyFill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1" fontId="7" fillId="6" borderId="37" xfId="0" applyNumberFormat="1" applyFont="1" applyFill="1" applyBorder="1" applyAlignment="1">
      <alignment horizontal="center"/>
    </xf>
    <xf numFmtId="171" fontId="7" fillId="6" borderId="39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3" xfId="0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171" fontId="7" fillId="6" borderId="3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6" borderId="41" xfId="0" applyNumberFormat="1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55" xfId="0" applyFont="1" applyFill="1" applyBorder="1"/>
    <xf numFmtId="0" fontId="7" fillId="2" borderId="22" xfId="0" applyFont="1" applyFill="1" applyBorder="1" applyAlignment="1">
      <alignment horizontal="center" wrapText="1"/>
    </xf>
    <xf numFmtId="171" fontId="7" fillId="2" borderId="0" xfId="0" applyNumberFormat="1" applyFont="1" applyFill="1" applyAlignment="1">
      <alignment horizontal="center"/>
    </xf>
    <xf numFmtId="1" fontId="7" fillId="6" borderId="50" xfId="0" applyNumberFormat="1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1" fontId="7" fillId="6" borderId="15" xfId="0" applyNumberFormat="1" applyFont="1" applyFill="1" applyBorder="1" applyAlignment="1">
      <alignment horizontal="center"/>
    </xf>
    <xf numFmtId="0" fontId="7" fillId="2" borderId="11" xfId="0" applyFont="1" applyFill="1" applyBorder="1"/>
    <xf numFmtId="0" fontId="7" fillId="2" borderId="0" xfId="0" applyFont="1" applyFill="1" applyAlignment="1">
      <alignment horizontal="right"/>
    </xf>
    <xf numFmtId="0" fontId="7" fillId="2" borderId="24" xfId="0" applyFont="1" applyFill="1" applyBorder="1" applyAlignment="1">
      <alignment horizontal="center"/>
    </xf>
    <xf numFmtId="171" fontId="7" fillId="7" borderId="16" xfId="0" applyNumberFormat="1" applyFont="1" applyFill="1" applyBorder="1" applyAlignment="1">
      <alignment horizontal="center"/>
    </xf>
    <xf numFmtId="1" fontId="7" fillId="6" borderId="49" xfId="0" applyNumberFormat="1" applyFont="1" applyFill="1" applyBorder="1" applyAlignment="1">
      <alignment horizontal="center"/>
    </xf>
    <xf numFmtId="0" fontId="7" fillId="2" borderId="11" xfId="0" applyFont="1" applyFill="1" applyBorder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24" xfId="0" applyFont="1" applyFill="1" applyBorder="1" applyAlignment="1" applyProtection="1">
      <alignment horizontal="center"/>
      <protection locked="0"/>
    </xf>
    <xf numFmtId="0" fontId="8" fillId="3" borderId="29" xfId="0" applyFont="1" applyFill="1" applyBorder="1" applyAlignment="1" applyProtection="1">
      <alignment horizontal="center"/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34" xfId="0" applyFont="1" applyFill="1" applyBorder="1" applyAlignment="1" applyProtection="1">
      <alignment horizontal="center"/>
      <protection locked="0"/>
    </xf>
    <xf numFmtId="0" fontId="8" fillId="3" borderId="52" xfId="0" applyFont="1" applyFill="1" applyBorder="1" applyAlignment="1" applyProtection="1">
      <alignment horizontal="center"/>
      <protection locked="0"/>
    </xf>
    <xf numFmtId="0" fontId="8" fillId="3" borderId="16" xfId="0" applyFont="1" applyFill="1" applyBorder="1" applyAlignment="1" applyProtection="1">
      <alignment horizontal="center"/>
      <protection locked="0"/>
    </xf>
    <xf numFmtId="0" fontId="8" fillId="3" borderId="27" xfId="0" applyFont="1" applyFill="1" applyBorder="1" applyAlignment="1" applyProtection="1">
      <alignment horizontal="center"/>
      <protection locked="0"/>
    </xf>
    <xf numFmtId="0" fontId="8" fillId="3" borderId="21" xfId="0" applyFont="1" applyFill="1" applyBorder="1" applyAlignment="1" applyProtection="1">
      <alignment horizontal="center"/>
      <protection locked="0"/>
    </xf>
    <xf numFmtId="0" fontId="8" fillId="3" borderId="43" xfId="0" applyFont="1" applyFill="1" applyBorder="1" applyAlignment="1" applyProtection="1">
      <alignment horizontal="center"/>
      <protection locked="0"/>
    </xf>
    <xf numFmtId="10" fontId="8" fillId="7" borderId="33" xfId="0" applyNumberFormat="1" applyFont="1" applyFill="1" applyBorder="1" applyAlignment="1">
      <alignment horizontal="center"/>
    </xf>
    <xf numFmtId="10" fontId="8" fillId="6" borderId="57" xfId="0" applyNumberFormat="1" applyFont="1" applyFill="1" applyBorder="1" applyAlignment="1">
      <alignment horizontal="center"/>
    </xf>
    <xf numFmtId="0" fontId="8" fillId="7" borderId="46" xfId="0" applyFont="1" applyFill="1" applyBorder="1" applyAlignment="1">
      <alignment horizontal="center"/>
    </xf>
    <xf numFmtId="171" fontId="8" fillId="3" borderId="34" xfId="0" applyNumberFormat="1" applyFont="1" applyFill="1" applyBorder="1" applyAlignment="1" applyProtection="1">
      <alignment horizontal="center"/>
      <protection locked="0"/>
    </xf>
    <xf numFmtId="1" fontId="8" fillId="3" borderId="31" xfId="0" applyNumberFormat="1" applyFont="1" applyFill="1" applyBorder="1" applyAlignment="1" applyProtection="1">
      <alignment horizontal="center"/>
      <protection locked="0"/>
    </xf>
    <xf numFmtId="1" fontId="8" fillId="3" borderId="35" xfId="0" applyNumberFormat="1" applyFont="1" applyFill="1" applyBorder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10" fontId="8" fillId="7" borderId="27" xfId="0" applyNumberFormat="1" applyFont="1" applyFill="1" applyBorder="1" applyAlignment="1">
      <alignment horizontal="center"/>
    </xf>
    <xf numFmtId="10" fontId="8" fillId="6" borderId="27" xfId="0" applyNumberFormat="1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 applyProtection="1">
      <alignment horizontal="left"/>
      <protection locked="0"/>
    </xf>
    <xf numFmtId="0" fontId="7" fillId="2" borderId="47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0" fontId="16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16" fillId="3" borderId="29" xfId="0" applyFont="1" applyFill="1" applyBorder="1" applyAlignment="1" applyProtection="1">
      <alignment horizontal="center"/>
      <protection locked="0"/>
    </xf>
    <xf numFmtId="166" fontId="8" fillId="3" borderId="31" xfId="0" applyNumberFormat="1" applyFont="1" applyFill="1" applyBorder="1" applyAlignment="1" applyProtection="1">
      <alignment horizontal="center"/>
      <protection locked="0"/>
    </xf>
    <xf numFmtId="166" fontId="8" fillId="3" borderId="35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5" fillId="2" borderId="0" xfId="0" applyFont="1" applyFill="1"/>
    <xf numFmtId="0" fontId="4" fillId="2" borderId="3" xfId="0" applyFont="1" applyFill="1" applyBorder="1" applyAlignment="1">
      <alignment horizontal="center"/>
    </xf>
    <xf numFmtId="0" fontId="17" fillId="3" borderId="3" xfId="0" applyFont="1" applyFill="1" applyBorder="1" applyAlignment="1" applyProtection="1">
      <alignment horizontal="center"/>
      <protection locked="0"/>
    </xf>
    <xf numFmtId="2" fontId="17" fillId="3" borderId="3" xfId="0" applyNumberFormat="1" applyFont="1" applyFill="1" applyBorder="1" applyAlignment="1" applyProtection="1">
      <alignment horizontal="center"/>
      <protection locked="0"/>
    </xf>
    <xf numFmtId="2" fontId="17" fillId="3" borderId="4" xfId="0" applyNumberFormat="1" applyFont="1" applyFill="1" applyBorder="1" applyAlignment="1" applyProtection="1">
      <alignment horizontal="center"/>
      <protection locked="0"/>
    </xf>
    <xf numFmtId="0" fontId="17" fillId="3" borderId="5" xfId="0" applyFont="1" applyFill="1" applyBorder="1" applyAlignment="1" applyProtection="1">
      <alignment horizontal="center"/>
      <protection locked="0"/>
    </xf>
    <xf numFmtId="2" fontId="17" fillId="3" borderId="5" xfId="0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 applyProtection="1">
      <protection locked="0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1" fillId="2" borderId="7" xfId="0" applyFont="1" applyFill="1" applyBorder="1"/>
    <xf numFmtId="167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/>
    <xf numFmtId="0" fontId="18" fillId="2" borderId="0" xfId="0" applyFont="1" applyFill="1"/>
    <xf numFmtId="2" fontId="4" fillId="3" borderId="14" xfId="0" applyNumberFormat="1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2" borderId="14" xfId="0" applyNumberFormat="1" applyFont="1" applyFill="1" applyBorder="1" applyAlignment="1">
      <alignment horizontal="center"/>
    </xf>
    <xf numFmtId="2" fontId="4" fillId="3" borderId="15" xfId="0" applyNumberFormat="1" applyFont="1" applyFill="1" applyBorder="1" applyAlignment="1" applyProtection="1">
      <alignment horizontal="center"/>
      <protection locked="0"/>
    </xf>
    <xf numFmtId="10" fontId="4" fillId="2" borderId="15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4" fillId="2" borderId="12" xfId="0" applyFont="1" applyFill="1" applyBorder="1" applyAlignment="1">
      <alignment horizontal="right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0" fontId="4" fillId="2" borderId="9" xfId="0" applyFont="1" applyFill="1" applyBorder="1"/>
    <xf numFmtId="10" fontId="4" fillId="2" borderId="9" xfId="0" applyNumberFormat="1" applyFont="1" applyFill="1" applyBorder="1"/>
    <xf numFmtId="0" fontId="8" fillId="2" borderId="0" xfId="0" applyFont="1" applyFill="1"/>
    <xf numFmtId="168" fontId="16" fillId="3" borderId="0" xfId="0" applyNumberFormat="1" applyFont="1" applyFill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69" fontId="7" fillId="2" borderId="0" xfId="0" applyNumberFormat="1" applyFont="1" applyFill="1" applyAlignment="1">
      <alignment horizontal="left"/>
    </xf>
    <xf numFmtId="0" fontId="19" fillId="2" borderId="0" xfId="0" applyFont="1" applyFill="1"/>
    <xf numFmtId="0" fontId="10" fillId="2" borderId="0" xfId="0" applyFont="1" applyFill="1"/>
    <xf numFmtId="0" fontId="20" fillId="2" borderId="0" xfId="0" applyFont="1" applyFill="1"/>
    <xf numFmtId="0" fontId="7" fillId="2" borderId="21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7" fillId="2" borderId="28" xfId="0" applyFont="1" applyFill="1" applyBorder="1" applyAlignment="1">
      <alignment horizontal="center"/>
    </xf>
    <xf numFmtId="171" fontId="7" fillId="2" borderId="26" xfId="0" applyNumberFormat="1" applyFont="1" applyFill="1" applyBorder="1" applyAlignment="1">
      <alignment horizontal="center"/>
    </xf>
    <xf numFmtId="171" fontId="7" fillId="2" borderId="30" xfId="0" applyNumberFormat="1" applyFont="1" applyFill="1" applyBorder="1" applyAlignment="1">
      <alignment horizontal="center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24" xfId="0" applyFont="1" applyFill="1" applyBorder="1" applyAlignment="1">
      <alignment horizontal="right"/>
    </xf>
    <xf numFmtId="0" fontId="7" fillId="2" borderId="51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2" fontId="7" fillId="6" borderId="27" xfId="0" applyNumberFormat="1" applyFont="1" applyFill="1" applyBorder="1" applyAlignment="1">
      <alignment horizontal="center"/>
    </xf>
    <xf numFmtId="2" fontId="7" fillId="6" borderId="41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2" fontId="7" fillId="7" borderId="41" xfId="0" applyNumberFormat="1" applyFont="1" applyFill="1" applyBorder="1" applyAlignment="1">
      <alignment horizontal="center"/>
    </xf>
    <xf numFmtId="2" fontId="7" fillId="6" borderId="17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2" borderId="53" xfId="0" applyFont="1" applyFill="1" applyBorder="1" applyAlignment="1">
      <alignment horizontal="right"/>
    </xf>
    <xf numFmtId="2" fontId="7" fillId="7" borderId="30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right"/>
    </xf>
    <xf numFmtId="0" fontId="7" fillId="2" borderId="41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2" fontId="7" fillId="2" borderId="21" xfId="0" applyNumberFormat="1" applyFont="1" applyFill="1" applyBorder="1" applyAlignment="1">
      <alignment horizontal="center"/>
    </xf>
    <xf numFmtId="10" fontId="7" fillId="2" borderId="13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2" fontId="7" fillId="2" borderId="23" xfId="0" applyNumberFormat="1" applyFont="1" applyFill="1" applyBorder="1" applyAlignment="1">
      <alignment horizontal="center"/>
    </xf>
    <xf numFmtId="10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10" fontId="7" fillId="2" borderId="22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/>
    </xf>
    <xf numFmtId="10" fontId="7" fillId="2" borderId="44" xfId="0" applyNumberFormat="1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right"/>
    </xf>
    <xf numFmtId="2" fontId="8" fillId="2" borderId="44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right"/>
    </xf>
    <xf numFmtId="0" fontId="7" fillId="2" borderId="4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23" xfId="0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/>
    </xf>
    <xf numFmtId="2" fontId="7" fillId="2" borderId="31" xfId="0" applyNumberFormat="1" applyFont="1" applyFill="1" applyBorder="1" applyAlignment="1">
      <alignment horizontal="center"/>
    </xf>
    <xf numFmtId="10" fontId="7" fillId="2" borderId="32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10" fontId="7" fillId="2" borderId="36" xfId="0" applyNumberFormat="1" applyFont="1" applyFill="1" applyBorder="1" applyAlignment="1">
      <alignment horizontal="center"/>
    </xf>
    <xf numFmtId="2" fontId="7" fillId="2" borderId="24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right"/>
    </xf>
    <xf numFmtId="0" fontId="7" fillId="2" borderId="23" xfId="0" applyFont="1" applyFill="1" applyBorder="1"/>
    <xf numFmtId="0" fontId="7" fillId="2" borderId="6" xfId="0" applyFont="1" applyFill="1" applyBorder="1"/>
    <xf numFmtId="0" fontId="7" fillId="2" borderId="43" xfId="0" applyFont="1" applyFill="1" applyBorder="1"/>
    <xf numFmtId="0" fontId="7" fillId="2" borderId="59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center"/>
    </xf>
    <xf numFmtId="10" fontId="7" fillId="2" borderId="28" xfId="0" applyNumberFormat="1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33" xfId="0" applyNumberFormat="1" applyFont="1" applyFill="1" applyBorder="1" applyAlignment="1">
      <alignment horizontal="center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/>
    <xf numFmtId="0" fontId="7" fillId="2" borderId="7" xfId="0" applyFont="1" applyFill="1" applyBorder="1" applyProtection="1">
      <protection locked="0"/>
    </xf>
    <xf numFmtId="0" fontId="7" fillId="2" borderId="7" xfId="0" applyFont="1" applyFill="1" applyBorder="1"/>
    <xf numFmtId="0" fontId="7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71" fontId="16" fillId="2" borderId="26" xfId="0" applyNumberFormat="1" applyFont="1" applyFill="1" applyBorder="1" applyAlignment="1">
      <alignment horizontal="center"/>
    </xf>
    <xf numFmtId="0" fontId="20" fillId="2" borderId="13" xfId="0" applyFont="1" applyFill="1" applyBorder="1"/>
    <xf numFmtId="171" fontId="16" fillId="2" borderId="31" xfId="0" applyNumberFormat="1" applyFont="1" applyFill="1" applyBorder="1" applyAlignment="1">
      <alignment horizontal="center"/>
    </xf>
    <xf numFmtId="171" fontId="16" fillId="2" borderId="35" xfId="0" applyNumberFormat="1" applyFont="1" applyFill="1" applyBorder="1" applyAlignment="1">
      <alignment horizontal="center"/>
    </xf>
    <xf numFmtId="0" fontId="7" fillId="2" borderId="15" xfId="0" applyFont="1" applyFill="1" applyBorder="1"/>
    <xf numFmtId="0" fontId="7" fillId="2" borderId="4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166" fontId="7" fillId="6" borderId="41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6" borderId="17" xfId="0" applyNumberFormat="1" applyFont="1" applyFill="1" applyBorder="1" applyAlignment="1">
      <alignment horizontal="center"/>
    </xf>
    <xf numFmtId="0" fontId="7" fillId="2" borderId="42" xfId="0" applyFont="1" applyFill="1" applyBorder="1" applyAlignment="1">
      <alignment horizontal="right"/>
    </xf>
    <xf numFmtId="166" fontId="7" fillId="2" borderId="0" xfId="0" applyNumberFormat="1" applyFont="1" applyFill="1"/>
    <xf numFmtId="0" fontId="7" fillId="2" borderId="29" xfId="0" applyFont="1" applyFill="1" applyBorder="1" applyAlignment="1">
      <alignment horizontal="right"/>
    </xf>
    <xf numFmtId="0" fontId="7" fillId="2" borderId="15" xfId="0" applyFont="1" applyFill="1" applyBorder="1" applyAlignment="1">
      <alignment horizontal="right"/>
    </xf>
    <xf numFmtId="2" fontId="7" fillId="6" borderId="15" xfId="0" applyNumberFormat="1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66" fontId="7" fillId="2" borderId="21" xfId="0" applyNumberFormat="1" applyFont="1" applyFill="1" applyBorder="1" applyAlignment="1">
      <alignment horizontal="center"/>
    </xf>
    <xf numFmtId="166" fontId="7" fillId="2" borderId="23" xfId="0" applyNumberFormat="1" applyFont="1" applyFill="1" applyBorder="1" applyAlignment="1">
      <alignment horizontal="center"/>
    </xf>
    <xf numFmtId="166" fontId="7" fillId="2" borderId="13" xfId="0" applyNumberFormat="1" applyFont="1" applyFill="1" applyBorder="1" applyAlignment="1">
      <alignment horizontal="center"/>
    </xf>
    <xf numFmtId="166" fontId="7" fillId="2" borderId="14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66" fontId="7" fillId="6" borderId="27" xfId="0" applyNumberFormat="1" applyFont="1" applyFill="1" applyBorder="1" applyAlignment="1">
      <alignment horizontal="center"/>
    </xf>
    <xf numFmtId="166" fontId="7" fillId="7" borderId="27" xfId="0" applyNumberFormat="1" applyFont="1" applyFill="1" applyBorder="1" applyAlignment="1">
      <alignment horizontal="center"/>
    </xf>
    <xf numFmtId="166" fontId="7" fillId="2" borderId="26" xfId="0" applyNumberFormat="1" applyFont="1" applyFill="1" applyBorder="1" applyAlignment="1">
      <alignment horizontal="center"/>
    </xf>
    <xf numFmtId="166" fontId="7" fillId="2" borderId="31" xfId="0" applyNumberFormat="1" applyFont="1" applyFill="1" applyBorder="1" applyAlignment="1">
      <alignment horizontal="center"/>
    </xf>
    <xf numFmtId="166" fontId="7" fillId="2" borderId="35" xfId="0" applyNumberFormat="1" applyFont="1" applyFill="1" applyBorder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/>
    <xf numFmtId="0" fontId="23" fillId="2" borderId="3" xfId="0" applyFont="1" applyFill="1" applyBorder="1"/>
    <xf numFmtId="0" fontId="23" fillId="2" borderId="6" xfId="0" applyFont="1" applyFill="1" applyBorder="1"/>
    <xf numFmtId="0" fontId="23" fillId="2" borderId="5" xfId="0" applyFont="1" applyFill="1" applyBorder="1"/>
    <xf numFmtId="0" fontId="23" fillId="2" borderId="7" xfId="0" applyFont="1" applyFill="1" applyBorder="1"/>
    <xf numFmtId="0" fontId="23" fillId="2" borderId="8" xfId="0" applyFont="1" applyFill="1" applyBorder="1"/>
    <xf numFmtId="0" fontId="23" fillId="2" borderId="0" xfId="0" applyFont="1" applyFill="1" applyAlignment="1" applyProtection="1">
      <alignment horizontal="left"/>
      <protection locked="0"/>
    </xf>
    <xf numFmtId="0" fontId="23" fillId="2" borderId="0" xfId="0" applyFont="1" applyFill="1" applyProtection="1">
      <protection locked="0"/>
    </xf>
    <xf numFmtId="0" fontId="1" fillId="2" borderId="10" xfId="0" applyFont="1" applyFill="1" applyBorder="1" applyAlignment="1"/>
    <xf numFmtId="166" fontId="7" fillId="6" borderId="49" xfId="0" applyNumberFormat="1" applyFont="1" applyFill="1" applyBorder="1" applyAlignment="1">
      <alignment horizontal="center"/>
    </xf>
    <xf numFmtId="166" fontId="7" fillId="6" borderId="5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8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 wrapText="1"/>
      <protection locked="0"/>
    </xf>
    <xf numFmtId="0" fontId="7" fillId="2" borderId="47" xfId="0" applyFont="1" applyFill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justify" vertical="center" wrapText="1"/>
    </xf>
    <xf numFmtId="0" fontId="10" fillId="2" borderId="19" xfId="0" applyFont="1" applyFill="1" applyBorder="1" applyAlignment="1">
      <alignment horizontal="justify" vertical="center" wrapText="1"/>
    </xf>
    <xf numFmtId="0" fontId="10" fillId="2" borderId="20" xfId="0" applyFont="1" applyFill="1" applyBorder="1" applyAlignment="1">
      <alignment horizontal="justify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2" fontId="8" fillId="3" borderId="13" xfId="0" applyNumberFormat="1" applyFont="1" applyFill="1" applyBorder="1" applyAlignment="1" applyProtection="1">
      <alignment horizontal="center" vertical="center"/>
      <protection locked="0"/>
    </xf>
    <xf numFmtId="2" fontId="8" fillId="3" borderId="14" xfId="0" applyNumberFormat="1" applyFont="1" applyFill="1" applyBorder="1" applyAlignment="1" applyProtection="1">
      <alignment horizontal="center" vertical="center"/>
      <protection locked="0"/>
    </xf>
    <xf numFmtId="2" fontId="8" fillId="3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40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10" fontId="9" fillId="2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89"/>
  <sheetViews>
    <sheetView view="pageBreakPreview" topLeftCell="A42" zoomScale="60" zoomScaleNormal="100" workbookViewId="0">
      <selection activeCell="B56" sqref="B56"/>
    </sheetView>
  </sheetViews>
  <sheetFormatPr defaultRowHeight="15" x14ac:dyDescent="0.3"/>
  <cols>
    <col min="1" max="1" width="27.5703125" style="1" customWidth="1"/>
    <col min="2" max="2" width="20.425781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120"/>
  </cols>
  <sheetData>
    <row r="6" spans="1:5" ht="18.75" customHeight="1" x14ac:dyDescent="0.3">
      <c r="A6" s="274" t="s">
        <v>0</v>
      </c>
      <c r="B6" s="274"/>
      <c r="C6" s="274"/>
      <c r="D6" s="274"/>
      <c r="E6" s="274"/>
    </row>
    <row r="7" spans="1:5" ht="16.5" customHeight="1" x14ac:dyDescent="0.3">
      <c r="A7" s="30" t="s">
        <v>1</v>
      </c>
      <c r="B7" s="20" t="s">
        <v>2</v>
      </c>
    </row>
    <row r="8" spans="1:5" ht="16.5" customHeight="1" x14ac:dyDescent="0.3">
      <c r="A8" s="2" t="s">
        <v>3</v>
      </c>
      <c r="B8" s="2" t="str">
        <f>'ARTEMETHER '!B18:C18</f>
        <v>BI-CORTEM TABLETS</v>
      </c>
      <c r="D8" s="3"/>
      <c r="E8" s="24"/>
    </row>
    <row r="9" spans="1:5" ht="16.5" customHeight="1" x14ac:dyDescent="0.3">
      <c r="A9" s="24" t="s">
        <v>4</v>
      </c>
      <c r="B9" s="2" t="str">
        <f>'ARTEMETHER '!B26:C26</f>
        <v>ARTEMETHER</v>
      </c>
      <c r="C9" s="24"/>
      <c r="D9" s="24"/>
      <c r="E9" s="24"/>
    </row>
    <row r="10" spans="1:5" ht="16.5" customHeight="1" x14ac:dyDescent="0.3">
      <c r="A10" s="24" t="s">
        <v>6</v>
      </c>
      <c r="B10" s="4">
        <f>'ARTEMETHER '!B28</f>
        <v>99.8</v>
      </c>
      <c r="C10" s="24"/>
      <c r="D10" s="24"/>
      <c r="E10" s="24"/>
    </row>
    <row r="11" spans="1:5" ht="16.5" customHeight="1" x14ac:dyDescent="0.3">
      <c r="A11" s="2" t="s">
        <v>8</v>
      </c>
      <c r="B11" s="4">
        <f>'ARTEMETHER '!D43</f>
        <v>21.3</v>
      </c>
      <c r="C11" s="24"/>
      <c r="D11" s="24"/>
      <c r="E11" s="24"/>
    </row>
    <row r="12" spans="1:5" ht="16.5" customHeight="1" x14ac:dyDescent="0.3">
      <c r="A12" s="2" t="s">
        <v>10</v>
      </c>
      <c r="B12" s="5">
        <f>'ARTEMETHER '!D46</f>
        <v>0.21257400000000004</v>
      </c>
      <c r="C12" s="24"/>
      <c r="D12" s="24"/>
      <c r="E12" s="24"/>
    </row>
    <row r="13" spans="1:5" ht="15.75" customHeight="1" x14ac:dyDescent="0.3">
      <c r="A13" s="24"/>
      <c r="B13" s="24"/>
      <c r="C13" s="24"/>
      <c r="D13" s="24"/>
      <c r="E13" s="24"/>
    </row>
    <row r="14" spans="1:5" ht="16.5" customHeight="1" x14ac:dyDescent="0.3">
      <c r="A14" s="7" t="s">
        <v>12</v>
      </c>
      <c r="B14" s="6" t="s">
        <v>13</v>
      </c>
      <c r="C14" s="7" t="s">
        <v>14</v>
      </c>
      <c r="D14" s="7" t="s">
        <v>15</v>
      </c>
      <c r="E14" s="7" t="s">
        <v>16</v>
      </c>
    </row>
    <row r="15" spans="1:5" ht="16.5" customHeight="1" x14ac:dyDescent="0.3">
      <c r="A15" s="121">
        <v>1</v>
      </c>
      <c r="B15" s="122">
        <v>1794929</v>
      </c>
      <c r="C15" s="122">
        <v>13253.66</v>
      </c>
      <c r="D15" s="123">
        <v>1.01</v>
      </c>
      <c r="E15" s="124">
        <v>6.82</v>
      </c>
    </row>
    <row r="16" spans="1:5" ht="16.5" customHeight="1" x14ac:dyDescent="0.3">
      <c r="A16" s="121">
        <v>2</v>
      </c>
      <c r="B16" s="122">
        <v>1804380</v>
      </c>
      <c r="C16" s="122">
        <v>12994.38</v>
      </c>
      <c r="D16" s="123">
        <v>0.98</v>
      </c>
      <c r="E16" s="123">
        <v>6.83</v>
      </c>
    </row>
    <row r="17" spans="1:5" ht="16.5" customHeight="1" x14ac:dyDescent="0.3">
      <c r="A17" s="121">
        <v>3</v>
      </c>
      <c r="B17" s="122">
        <v>1793906</v>
      </c>
      <c r="C17" s="122">
        <v>13066.44</v>
      </c>
      <c r="D17" s="123">
        <v>1</v>
      </c>
      <c r="E17" s="123">
        <v>6.83</v>
      </c>
    </row>
    <row r="18" spans="1:5" ht="16.5" customHeight="1" x14ac:dyDescent="0.3">
      <c r="A18" s="121">
        <v>4</v>
      </c>
      <c r="B18" s="122">
        <v>1796294</v>
      </c>
      <c r="C18" s="122">
        <v>12960.86</v>
      </c>
      <c r="D18" s="123">
        <v>0.97</v>
      </c>
      <c r="E18" s="123">
        <v>6.83</v>
      </c>
    </row>
    <row r="19" spans="1:5" ht="16.5" customHeight="1" x14ac:dyDescent="0.3">
      <c r="A19" s="121">
        <v>5</v>
      </c>
      <c r="B19" s="122">
        <v>1797329</v>
      </c>
      <c r="C19" s="122">
        <v>13004.39</v>
      </c>
      <c r="D19" s="123">
        <v>0.97</v>
      </c>
      <c r="E19" s="123">
        <v>6.84</v>
      </c>
    </row>
    <row r="20" spans="1:5" ht="16.5" customHeight="1" x14ac:dyDescent="0.3">
      <c r="A20" s="121">
        <v>6</v>
      </c>
      <c r="B20" s="125">
        <v>1809092</v>
      </c>
      <c r="C20" s="125">
        <v>13217.99</v>
      </c>
      <c r="D20" s="126">
        <v>0.98</v>
      </c>
      <c r="E20" s="126">
        <v>6.84</v>
      </c>
    </row>
    <row r="21" spans="1:5" ht="16.5" customHeight="1" x14ac:dyDescent="0.3">
      <c r="A21" s="127" t="s">
        <v>17</v>
      </c>
      <c r="B21" s="8">
        <f>AVERAGE(B15:B20)</f>
        <v>1799321.6666666667</v>
      </c>
      <c r="C21" s="9">
        <f>AVERAGE(C15:C20)</f>
        <v>13082.953333333333</v>
      </c>
      <c r="D21" s="10">
        <f>AVERAGE(D15:D20)</f>
        <v>0.98499999999999999</v>
      </c>
      <c r="E21" s="10">
        <f>AVERAGE(E15:E20)</f>
        <v>6.8316666666666679</v>
      </c>
    </row>
    <row r="22" spans="1:5" ht="16.5" customHeight="1" x14ac:dyDescent="0.3">
      <c r="A22" s="128" t="s">
        <v>18</v>
      </c>
      <c r="B22" s="11">
        <f>(STDEV(B15:B20)/B21)</f>
        <v>3.3605046539957853E-3</v>
      </c>
      <c r="C22" s="12"/>
      <c r="D22" s="12"/>
      <c r="E22" s="129"/>
    </row>
    <row r="23" spans="1:5" s="1" customFormat="1" ht="16.5" customHeight="1" x14ac:dyDescent="0.3">
      <c r="A23" s="130" t="s">
        <v>19</v>
      </c>
      <c r="B23" s="13">
        <f>COUNT(B15:B20)</f>
        <v>6</v>
      </c>
      <c r="C23" s="14"/>
      <c r="D23" s="131"/>
      <c r="E23" s="132"/>
    </row>
    <row r="24" spans="1:5" s="1" customFormat="1" ht="15.75" customHeight="1" x14ac:dyDescent="0.3">
      <c r="A24" s="24"/>
      <c r="B24" s="24"/>
      <c r="C24" s="24"/>
      <c r="D24" s="24"/>
      <c r="E24" s="24"/>
    </row>
    <row r="25" spans="1:5" s="1" customFormat="1" ht="16.5" customHeight="1" x14ac:dyDescent="0.3">
      <c r="A25" s="24" t="s">
        <v>20</v>
      </c>
      <c r="B25" s="133" t="s">
        <v>121</v>
      </c>
      <c r="C25" s="134"/>
      <c r="D25" s="134"/>
      <c r="E25" s="134"/>
    </row>
    <row r="26" spans="1:5" ht="16.5" customHeight="1" x14ac:dyDescent="0.3">
      <c r="A26" s="24"/>
      <c r="B26" s="133" t="s">
        <v>122</v>
      </c>
      <c r="C26" s="134"/>
      <c r="D26" s="134"/>
      <c r="E26" s="134"/>
    </row>
    <row r="27" spans="1:5" ht="16.5" customHeight="1" x14ac:dyDescent="0.3">
      <c r="A27" s="24"/>
      <c r="B27" s="133" t="s">
        <v>123</v>
      </c>
      <c r="C27" s="134"/>
      <c r="D27" s="134"/>
      <c r="E27" s="134"/>
    </row>
    <row r="28" spans="1:5" ht="15.75" customHeight="1" x14ac:dyDescent="0.3">
      <c r="A28" s="24"/>
      <c r="B28" s="24"/>
      <c r="C28" s="24"/>
      <c r="D28" s="24"/>
      <c r="E28" s="24"/>
    </row>
    <row r="29" spans="1:5" ht="16.5" customHeight="1" x14ac:dyDescent="0.3">
      <c r="A29" s="30" t="s">
        <v>1</v>
      </c>
      <c r="B29" s="20" t="s">
        <v>21</v>
      </c>
    </row>
    <row r="30" spans="1:5" ht="16.5" customHeight="1" x14ac:dyDescent="0.3">
      <c r="A30" s="24" t="s">
        <v>4</v>
      </c>
      <c r="B30" s="2" t="str">
        <f>'ARTEMETHER '!B80:C80</f>
        <v>ARTEMETHER</v>
      </c>
      <c r="C30" s="24"/>
      <c r="D30" s="24"/>
      <c r="E30" s="24"/>
    </row>
    <row r="31" spans="1:5" ht="16.5" customHeight="1" x14ac:dyDescent="0.3">
      <c r="A31" s="24" t="s">
        <v>6</v>
      </c>
      <c r="B31" s="4">
        <f>'ARTEMETHER '!B82</f>
        <v>99.8</v>
      </c>
      <c r="C31" s="24"/>
      <c r="D31" s="24"/>
      <c r="E31" s="24"/>
    </row>
    <row r="32" spans="1:5" ht="16.5" customHeight="1" x14ac:dyDescent="0.3">
      <c r="A32" s="2" t="s">
        <v>8</v>
      </c>
      <c r="B32" s="4">
        <f>'ARTEMETHER '!D97</f>
        <v>23.92</v>
      </c>
      <c r="C32" s="24"/>
      <c r="D32" s="24"/>
      <c r="E32" s="24"/>
    </row>
    <row r="33" spans="1:5" ht="16.5" customHeight="1" x14ac:dyDescent="0.3">
      <c r="A33" s="2" t="s">
        <v>10</v>
      </c>
      <c r="B33" s="5">
        <f>'ARTEMETHER '!D100</f>
        <v>2.3872159999999996E-2</v>
      </c>
      <c r="C33" s="24"/>
      <c r="D33" s="24"/>
      <c r="E33" s="24"/>
    </row>
    <row r="34" spans="1:5" ht="15.75" customHeight="1" x14ac:dyDescent="0.3">
      <c r="A34" s="24"/>
      <c r="B34" s="24"/>
      <c r="C34" s="24"/>
      <c r="D34" s="24"/>
      <c r="E34" s="24"/>
    </row>
    <row r="35" spans="1:5" ht="16.5" customHeight="1" x14ac:dyDescent="0.3">
      <c r="A35" s="7" t="s">
        <v>12</v>
      </c>
      <c r="B35" s="6" t="s">
        <v>13</v>
      </c>
      <c r="C35" s="7" t="s">
        <v>14</v>
      </c>
      <c r="D35" s="7" t="s">
        <v>15</v>
      </c>
      <c r="E35" s="7" t="s">
        <v>16</v>
      </c>
    </row>
    <row r="36" spans="1:5" ht="16.5" customHeight="1" x14ac:dyDescent="0.3">
      <c r="A36" s="121">
        <v>1</v>
      </c>
      <c r="B36" s="122">
        <v>1567219</v>
      </c>
      <c r="C36" s="122">
        <v>12905.23</v>
      </c>
      <c r="D36" s="123">
        <v>0.98</v>
      </c>
      <c r="E36" s="124">
        <v>9.02</v>
      </c>
    </row>
    <row r="37" spans="1:5" ht="16.5" customHeight="1" x14ac:dyDescent="0.3">
      <c r="A37" s="121">
        <v>2</v>
      </c>
      <c r="B37" s="122">
        <v>1564818</v>
      </c>
      <c r="C37" s="122">
        <v>12730.26</v>
      </c>
      <c r="D37" s="123">
        <v>0.98</v>
      </c>
      <c r="E37" s="123">
        <v>9.02</v>
      </c>
    </row>
    <row r="38" spans="1:5" ht="16.5" customHeight="1" x14ac:dyDescent="0.3">
      <c r="A38" s="121">
        <v>3</v>
      </c>
      <c r="B38" s="122">
        <v>1566946</v>
      </c>
      <c r="C38" s="122">
        <v>12589.65</v>
      </c>
      <c r="D38" s="123">
        <v>0.97</v>
      </c>
      <c r="E38" s="123">
        <v>9.02</v>
      </c>
    </row>
    <row r="39" spans="1:5" ht="16.5" customHeight="1" x14ac:dyDescent="0.3">
      <c r="A39" s="121">
        <v>4</v>
      </c>
      <c r="B39" s="122">
        <v>1566543</v>
      </c>
      <c r="C39" s="122">
        <v>12508.57</v>
      </c>
      <c r="D39" s="123">
        <v>0.97</v>
      </c>
      <c r="E39" s="123">
        <v>9.02</v>
      </c>
    </row>
    <row r="40" spans="1:5" ht="16.5" customHeight="1" x14ac:dyDescent="0.3">
      <c r="A40" s="121">
        <v>5</v>
      </c>
      <c r="B40" s="122">
        <v>1564489</v>
      </c>
      <c r="C40" s="122">
        <v>12388.38</v>
      </c>
      <c r="D40" s="123">
        <v>0.97</v>
      </c>
      <c r="E40" s="123">
        <v>9.02</v>
      </c>
    </row>
    <row r="41" spans="1:5" ht="16.5" customHeight="1" x14ac:dyDescent="0.3">
      <c r="A41" s="121">
        <v>6</v>
      </c>
      <c r="B41" s="125">
        <v>1563373</v>
      </c>
      <c r="C41" s="125">
        <v>12421.91</v>
      </c>
      <c r="D41" s="126">
        <v>0.96</v>
      </c>
      <c r="E41" s="126">
        <v>9.02</v>
      </c>
    </row>
    <row r="42" spans="1:5" ht="16.5" customHeight="1" x14ac:dyDescent="0.3">
      <c r="A42" s="127" t="s">
        <v>17</v>
      </c>
      <c r="B42" s="8">
        <f>AVERAGE(B36:B41)</f>
        <v>1565564.6666666667</v>
      </c>
      <c r="C42" s="9">
        <f>AVERAGE(C36:C41)</f>
        <v>12590.666666666666</v>
      </c>
      <c r="D42" s="10">
        <f>AVERAGE(D36:D41)</f>
        <v>0.97166666666666657</v>
      </c>
      <c r="E42" s="10">
        <f>AVERAGE(E36:E41)</f>
        <v>9.0199999999999978</v>
      </c>
    </row>
    <row r="43" spans="1:5" ht="16.5" customHeight="1" x14ac:dyDescent="0.3">
      <c r="A43" s="128" t="s">
        <v>18</v>
      </c>
      <c r="B43" s="11">
        <f>(STDEV(B36:B41)/B42)</f>
        <v>9.9447864984795542E-4</v>
      </c>
      <c r="C43" s="12"/>
      <c r="D43" s="12"/>
      <c r="E43" s="129"/>
    </row>
    <row r="44" spans="1:5" s="1" customFormat="1" ht="16.5" customHeight="1" x14ac:dyDescent="0.3">
      <c r="A44" s="130" t="s">
        <v>19</v>
      </c>
      <c r="B44" s="13">
        <f>COUNT(B36:B41)</f>
        <v>6</v>
      </c>
      <c r="C44" s="14"/>
      <c r="D44" s="131"/>
      <c r="E44" s="132"/>
    </row>
    <row r="45" spans="1:5" s="1" customFormat="1" ht="15.75" customHeight="1" x14ac:dyDescent="0.3">
      <c r="A45" s="24"/>
      <c r="B45" s="24"/>
      <c r="C45" s="24"/>
      <c r="D45" s="24"/>
      <c r="E45" s="24"/>
    </row>
    <row r="46" spans="1:5" s="1" customFormat="1" ht="16.5" customHeight="1" x14ac:dyDescent="0.3">
      <c r="A46" s="24" t="s">
        <v>20</v>
      </c>
      <c r="B46" s="133" t="s">
        <v>121</v>
      </c>
      <c r="C46" s="134"/>
      <c r="D46" s="134"/>
      <c r="E46" s="134"/>
    </row>
    <row r="47" spans="1:5" ht="16.5" customHeight="1" x14ac:dyDescent="0.3">
      <c r="A47" s="24"/>
      <c r="B47" s="133" t="s">
        <v>122</v>
      </c>
      <c r="C47" s="134"/>
      <c r="D47" s="134"/>
      <c r="E47" s="134"/>
    </row>
    <row r="48" spans="1:5" ht="16.5" customHeight="1" x14ac:dyDescent="0.3">
      <c r="A48" s="24"/>
      <c r="B48" s="133" t="s">
        <v>123</v>
      </c>
      <c r="C48" s="134"/>
      <c r="D48" s="134"/>
      <c r="E48" s="134"/>
    </row>
    <row r="49" spans="1:5" ht="16.5" customHeight="1" x14ac:dyDescent="0.3">
      <c r="A49" s="24"/>
      <c r="B49" s="133"/>
      <c r="C49" s="134"/>
      <c r="D49" s="134"/>
      <c r="E49" s="134"/>
    </row>
    <row r="50" spans="1:5" ht="16.5" customHeight="1" x14ac:dyDescent="0.3">
      <c r="A50" s="30" t="s">
        <v>1</v>
      </c>
      <c r="B50" s="20" t="s">
        <v>2</v>
      </c>
      <c r="C50" s="260"/>
      <c r="D50" s="260"/>
      <c r="E50" s="260"/>
    </row>
    <row r="51" spans="1:5" ht="16.5" customHeight="1" x14ac:dyDescent="0.3">
      <c r="A51" s="2" t="s">
        <v>3</v>
      </c>
      <c r="B51" s="2" t="str">
        <f>B8</f>
        <v>BI-CORTEM TABLETS</v>
      </c>
      <c r="C51" s="260"/>
      <c r="D51" s="3"/>
      <c r="E51" s="261"/>
    </row>
    <row r="52" spans="1:5" ht="16.5" customHeight="1" x14ac:dyDescent="0.3">
      <c r="A52" s="24" t="s">
        <v>4</v>
      </c>
      <c r="B52" s="120" t="str">
        <f>LUMEFANTRINE!B26</f>
        <v xml:space="preserve">Lumefantrine </v>
      </c>
      <c r="C52" s="261"/>
      <c r="D52" s="261"/>
      <c r="E52" s="261"/>
    </row>
    <row r="53" spans="1:5" ht="16.5" customHeight="1" x14ac:dyDescent="0.3">
      <c r="A53" s="24" t="s">
        <v>6</v>
      </c>
      <c r="B53" s="4">
        <f>LUMEFANTRINE!B30</f>
        <v>100.2</v>
      </c>
      <c r="C53" s="261"/>
      <c r="D53" s="261"/>
      <c r="E53" s="261"/>
    </row>
    <row r="54" spans="1:5" ht="16.5" customHeight="1" x14ac:dyDescent="0.3">
      <c r="A54" s="2" t="s">
        <v>8</v>
      </c>
      <c r="B54" s="4">
        <f>LUMEFANTRINE!D43</f>
        <v>14.52</v>
      </c>
      <c r="C54" s="261"/>
      <c r="D54" s="261"/>
      <c r="E54" s="261"/>
    </row>
    <row r="55" spans="1:5" ht="16.5" customHeight="1" x14ac:dyDescent="0.3">
      <c r="A55" s="2" t="s">
        <v>10</v>
      </c>
      <c r="B55" s="5">
        <f>B54/LUMEFANTRINE!B45</f>
        <v>5.808E-2</v>
      </c>
      <c r="C55" s="261"/>
      <c r="D55" s="261"/>
      <c r="E55" s="261"/>
    </row>
    <row r="56" spans="1:5" ht="16.5" customHeight="1" x14ac:dyDescent="0.3">
      <c r="A56" s="261"/>
      <c r="B56" s="261"/>
      <c r="C56" s="261"/>
      <c r="D56" s="261"/>
      <c r="E56" s="261"/>
    </row>
    <row r="57" spans="1:5" ht="16.5" customHeight="1" x14ac:dyDescent="0.3">
      <c r="A57" s="7" t="s">
        <v>12</v>
      </c>
      <c r="B57" s="6" t="s">
        <v>13</v>
      </c>
      <c r="C57" s="7" t="s">
        <v>14</v>
      </c>
      <c r="D57" s="7" t="s">
        <v>15</v>
      </c>
      <c r="E57" s="7" t="s">
        <v>16</v>
      </c>
    </row>
    <row r="58" spans="1:5" ht="16.5" customHeight="1" x14ac:dyDescent="0.3">
      <c r="A58" s="262">
        <v>1</v>
      </c>
      <c r="B58" s="122">
        <v>7476000</v>
      </c>
      <c r="C58" s="123">
        <v>3926.73</v>
      </c>
      <c r="D58" s="123">
        <v>0.97</v>
      </c>
      <c r="E58" s="124">
        <v>3.8</v>
      </c>
    </row>
    <row r="59" spans="1:5" ht="16.5" customHeight="1" x14ac:dyDescent="0.3">
      <c r="A59" s="262">
        <v>2</v>
      </c>
      <c r="B59" s="122">
        <v>7495659</v>
      </c>
      <c r="C59" s="123">
        <v>3906.2</v>
      </c>
      <c r="D59" s="123">
        <v>0.97</v>
      </c>
      <c r="E59" s="123">
        <v>3.8</v>
      </c>
    </row>
    <row r="60" spans="1:5" ht="16.5" customHeight="1" x14ac:dyDescent="0.3">
      <c r="A60" s="262">
        <v>3</v>
      </c>
      <c r="B60" s="122">
        <v>7500415</v>
      </c>
      <c r="C60" s="123">
        <v>3890.42</v>
      </c>
      <c r="D60" s="123">
        <v>0.96</v>
      </c>
      <c r="E60" s="123">
        <v>3.8</v>
      </c>
    </row>
    <row r="61" spans="1:5" ht="16.5" customHeight="1" x14ac:dyDescent="0.3">
      <c r="A61" s="262">
        <v>4</v>
      </c>
      <c r="B61" s="122">
        <v>7507896</v>
      </c>
      <c r="C61" s="123">
        <v>3900.71</v>
      </c>
      <c r="D61" s="123">
        <v>0.96</v>
      </c>
      <c r="E61" s="123">
        <v>3.8</v>
      </c>
    </row>
    <row r="62" spans="1:5" ht="16.5" customHeight="1" x14ac:dyDescent="0.3">
      <c r="A62" s="262">
        <v>5</v>
      </c>
      <c r="B62" s="122">
        <v>7515115</v>
      </c>
      <c r="C62" s="123">
        <v>3894.7</v>
      </c>
      <c r="D62" s="123">
        <v>0.96</v>
      </c>
      <c r="E62" s="123">
        <v>3.8</v>
      </c>
    </row>
    <row r="63" spans="1:5" ht="16.5" customHeight="1" x14ac:dyDescent="0.3">
      <c r="A63" s="262">
        <v>6</v>
      </c>
      <c r="B63" s="125">
        <v>7507986</v>
      </c>
      <c r="C63" s="126">
        <v>3895.21</v>
      </c>
      <c r="D63" s="126">
        <v>0.98</v>
      </c>
      <c r="E63" s="126">
        <v>3.8</v>
      </c>
    </row>
    <row r="64" spans="1:5" ht="16.5" customHeight="1" x14ac:dyDescent="0.3">
      <c r="A64" s="263" t="s">
        <v>17</v>
      </c>
      <c r="B64" s="8">
        <f>AVERAGE(B58:B63)</f>
        <v>7500511.833333333</v>
      </c>
      <c r="C64" s="10">
        <f>AVERAGE(C58:C63)</f>
        <v>3902.3283333333334</v>
      </c>
      <c r="D64" s="10">
        <f>AVERAGE(D58:D63)</f>
        <v>0.96666666666666679</v>
      </c>
      <c r="E64" s="10">
        <f>AVERAGE(E58:E63)</f>
        <v>3.8000000000000003</v>
      </c>
    </row>
    <row r="65" spans="1:5" ht="16.5" customHeight="1" x14ac:dyDescent="0.3">
      <c r="A65" s="264" t="s">
        <v>18</v>
      </c>
      <c r="B65" s="11">
        <f>(STDEV(B58:B63)/B64)</f>
        <v>1.8358421819301941E-3</v>
      </c>
      <c r="C65" s="12"/>
      <c r="D65" s="12"/>
      <c r="E65" s="265"/>
    </row>
    <row r="66" spans="1:5" ht="16.5" customHeight="1" x14ac:dyDescent="0.3">
      <c r="A66" s="266" t="s">
        <v>19</v>
      </c>
      <c r="B66" s="13">
        <f>COUNT(B58:B63)</f>
        <v>6</v>
      </c>
      <c r="C66" s="14"/>
      <c r="D66" s="267"/>
      <c r="E66" s="268"/>
    </row>
    <row r="67" spans="1:5" ht="16.5" customHeight="1" x14ac:dyDescent="0.3">
      <c r="A67" s="261"/>
      <c r="B67" s="261"/>
      <c r="C67" s="261"/>
      <c r="D67" s="261"/>
      <c r="E67" s="261"/>
    </row>
    <row r="68" spans="1:5" ht="16.5" customHeight="1" x14ac:dyDescent="0.3">
      <c r="A68" s="24" t="s">
        <v>20</v>
      </c>
      <c r="B68" s="269" t="s">
        <v>141</v>
      </c>
      <c r="C68" s="270"/>
      <c r="D68" s="270"/>
      <c r="E68" s="270"/>
    </row>
    <row r="69" spans="1:5" ht="16.5" customHeight="1" x14ac:dyDescent="0.3">
      <c r="A69" s="24"/>
      <c r="B69" s="269" t="s">
        <v>142</v>
      </c>
      <c r="C69" s="270"/>
      <c r="D69" s="270"/>
      <c r="E69" s="270"/>
    </row>
    <row r="70" spans="1:5" ht="16.5" customHeight="1" x14ac:dyDescent="0.3">
      <c r="A70" s="24"/>
      <c r="B70" s="269" t="s">
        <v>143</v>
      </c>
      <c r="C70" s="270"/>
      <c r="D70" s="270"/>
      <c r="E70" s="270"/>
    </row>
    <row r="71" spans="1:5" ht="16.5" customHeight="1" thickBot="1" x14ac:dyDescent="0.35">
      <c r="A71" s="135"/>
      <c r="B71" s="136"/>
      <c r="D71" s="137"/>
    </row>
    <row r="72" spans="1:5" ht="16.5" customHeight="1" x14ac:dyDescent="0.3">
      <c r="B72" s="271" t="s">
        <v>22</v>
      </c>
      <c r="C72" s="119" t="s">
        <v>23</v>
      </c>
      <c r="E72" s="119" t="s">
        <v>24</v>
      </c>
    </row>
    <row r="73" spans="1:5" ht="16.5" customHeight="1" x14ac:dyDescent="0.3">
      <c r="A73" s="15" t="s">
        <v>25</v>
      </c>
      <c r="B73" s="138"/>
      <c r="C73" s="138"/>
      <c r="E73" s="138"/>
    </row>
    <row r="74" spans="1:5" ht="16.5" customHeight="1" x14ac:dyDescent="0.3">
      <c r="A74" s="15" t="s">
        <v>26</v>
      </c>
      <c r="B74" s="16"/>
      <c r="C74" s="16"/>
      <c r="E74" s="16"/>
    </row>
    <row r="75" spans="1:5" ht="16.5" customHeight="1" x14ac:dyDescent="0.3">
      <c r="A75" s="24"/>
      <c r="B75" s="133"/>
      <c r="C75" s="134"/>
      <c r="D75" s="134"/>
      <c r="E75" s="134"/>
    </row>
    <row r="76" spans="1:5" ht="16.5" customHeight="1" x14ac:dyDescent="0.3">
      <c r="A76" s="24"/>
      <c r="B76" s="133"/>
      <c r="C76" s="134"/>
      <c r="D76" s="134"/>
      <c r="E76" s="134"/>
    </row>
    <row r="77" spans="1:5" ht="16.5" customHeight="1" x14ac:dyDescent="0.3">
      <c r="A77" s="24"/>
      <c r="B77" s="133"/>
      <c r="C77" s="134"/>
      <c r="D77" s="134"/>
      <c r="E77" s="134"/>
    </row>
    <row r="78" spans="1:5" ht="16.5" customHeight="1" x14ac:dyDescent="0.3">
      <c r="A78" s="24"/>
      <c r="B78" s="133"/>
      <c r="C78" s="134"/>
      <c r="D78" s="134"/>
      <c r="E78" s="134"/>
    </row>
    <row r="79" spans="1:5" ht="16.5" customHeight="1" x14ac:dyDescent="0.3">
      <c r="A79" s="24"/>
      <c r="B79" s="133"/>
      <c r="C79" s="134"/>
      <c r="D79" s="134"/>
      <c r="E79" s="134"/>
    </row>
    <row r="80" spans="1:5" ht="16.5" customHeight="1" x14ac:dyDescent="0.3">
      <c r="A80" s="24"/>
      <c r="B80" s="133"/>
      <c r="C80" s="134"/>
      <c r="D80" s="134"/>
      <c r="E80" s="134"/>
    </row>
    <row r="81" spans="1:5" ht="16.5" customHeight="1" x14ac:dyDescent="0.3">
      <c r="A81" s="24"/>
      <c r="B81" s="133"/>
      <c r="C81" s="134"/>
      <c r="D81" s="134"/>
      <c r="E81" s="134"/>
    </row>
    <row r="82" spans="1:5" ht="16.5" customHeight="1" x14ac:dyDescent="0.3">
      <c r="A82" s="24"/>
      <c r="B82" s="133"/>
      <c r="C82" s="134"/>
      <c r="D82" s="134"/>
      <c r="E82" s="134"/>
    </row>
    <row r="83" spans="1:5" ht="16.5" customHeight="1" x14ac:dyDescent="0.3">
      <c r="A83" s="24"/>
      <c r="B83" s="133"/>
      <c r="C83" s="134"/>
      <c r="D83" s="134"/>
      <c r="E83" s="134"/>
    </row>
    <row r="84" spans="1:5" ht="16.5" customHeight="1" x14ac:dyDescent="0.3">
      <c r="A84" s="24"/>
      <c r="B84" s="133"/>
      <c r="C84" s="134"/>
      <c r="D84" s="134"/>
      <c r="E84" s="134"/>
    </row>
    <row r="85" spans="1:5" ht="16.5" customHeight="1" x14ac:dyDescent="0.3">
      <c r="A85" s="24"/>
      <c r="B85" s="133"/>
      <c r="C85" s="134"/>
      <c r="D85" s="134"/>
      <c r="E85" s="134"/>
    </row>
    <row r="86" spans="1:5" ht="16.5" customHeight="1" x14ac:dyDescent="0.3">
      <c r="A86" s="24"/>
      <c r="B86" s="133"/>
      <c r="C86" s="134"/>
      <c r="D86" s="134"/>
      <c r="E86" s="134"/>
    </row>
    <row r="87" spans="1:5" ht="16.5" customHeight="1" x14ac:dyDescent="0.3">
      <c r="A87" s="24"/>
      <c r="B87" s="133"/>
      <c r="C87" s="134"/>
      <c r="D87" s="134"/>
      <c r="E87" s="134"/>
    </row>
    <row r="88" spans="1:5" ht="16.5" customHeight="1" x14ac:dyDescent="0.3">
      <c r="A88" s="24"/>
      <c r="B88" s="133"/>
      <c r="C88" s="134"/>
      <c r="D88" s="134"/>
      <c r="E88" s="134"/>
    </row>
    <row r="89" spans="1:5" ht="16.5" customHeight="1" x14ac:dyDescent="0.3">
      <c r="A89" s="24"/>
      <c r="B89" s="133"/>
      <c r="C89" s="134"/>
      <c r="D89" s="134"/>
      <c r="E89" s="134"/>
    </row>
  </sheetData>
  <sheetProtection formatCells="0" formatColumns="0" formatRows="0" insertColumns="0" insertRows="0" insertHyperlinks="0" deleteColumns="0" deleteRows="0" sort="0" autoFilter="0" pivotTables="0"/>
  <mergeCells count="1">
    <mergeCell ref="A6:E6"/>
  </mergeCells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30" sqref="C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6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120"/>
  </cols>
  <sheetData>
    <row r="10" spans="1:7" ht="13.5" customHeight="1" x14ac:dyDescent="0.3"/>
    <row r="11" spans="1:7" ht="13.5" customHeight="1" x14ac:dyDescent="0.3">
      <c r="A11" s="278" t="s">
        <v>27</v>
      </c>
      <c r="B11" s="279"/>
      <c r="C11" s="279"/>
      <c r="D11" s="279"/>
      <c r="E11" s="279"/>
      <c r="F11" s="280"/>
      <c r="G11" s="31"/>
    </row>
    <row r="12" spans="1:7" ht="16.5" customHeight="1" x14ac:dyDescent="0.3">
      <c r="A12" s="277" t="s">
        <v>28</v>
      </c>
      <c r="B12" s="277"/>
      <c r="C12" s="277"/>
      <c r="D12" s="277"/>
      <c r="E12" s="277"/>
      <c r="F12" s="277"/>
      <c r="G12" s="30"/>
    </row>
    <row r="14" spans="1:7" ht="16.5" customHeight="1" x14ac:dyDescent="0.3">
      <c r="A14" s="282" t="s">
        <v>29</v>
      </c>
      <c r="B14" s="282"/>
      <c r="C14" s="24" t="s">
        <v>5</v>
      </c>
    </row>
    <row r="15" spans="1:7" ht="16.5" customHeight="1" x14ac:dyDescent="0.3">
      <c r="A15" s="282" t="s">
        <v>30</v>
      </c>
      <c r="B15" s="282"/>
      <c r="C15" s="24" t="s">
        <v>7</v>
      </c>
    </row>
    <row r="16" spans="1:7" ht="16.5" customHeight="1" x14ac:dyDescent="0.3">
      <c r="A16" s="282" t="s">
        <v>31</v>
      </c>
      <c r="B16" s="282"/>
      <c r="C16" s="24" t="s">
        <v>9</v>
      </c>
    </row>
    <row r="17" spans="1:5" ht="16.5" customHeight="1" x14ac:dyDescent="0.3">
      <c r="A17" s="282" t="s">
        <v>32</v>
      </c>
      <c r="B17" s="282"/>
      <c r="C17" s="24" t="s">
        <v>11</v>
      </c>
    </row>
    <row r="18" spans="1:5" ht="16.5" customHeight="1" x14ac:dyDescent="0.3">
      <c r="A18" s="282" t="s">
        <v>33</v>
      </c>
      <c r="B18" s="282"/>
      <c r="C18" s="139" t="str">
        <f>'ARTEMETHER '!B22</f>
        <v>29TH Oct 2015</v>
      </c>
    </row>
    <row r="19" spans="1:5" ht="16.5" customHeight="1" x14ac:dyDescent="0.3">
      <c r="A19" s="282" t="s">
        <v>34</v>
      </c>
      <c r="B19" s="282"/>
      <c r="C19" s="139" t="str">
        <f>'ARTEMETHER '!B23</f>
        <v>4th Dec 2015</v>
      </c>
    </row>
    <row r="20" spans="1:5" ht="16.5" customHeight="1" x14ac:dyDescent="0.3">
      <c r="A20" s="106"/>
      <c r="B20" s="106"/>
      <c r="C20" s="140"/>
    </row>
    <row r="21" spans="1:5" ht="16.5" customHeight="1" x14ac:dyDescent="0.3">
      <c r="A21" s="277" t="s">
        <v>1</v>
      </c>
      <c r="B21" s="277"/>
      <c r="C21" s="20" t="s">
        <v>35</v>
      </c>
      <c r="D21" s="141"/>
    </row>
    <row r="22" spans="1:5" ht="15.75" customHeight="1" x14ac:dyDescent="0.3">
      <c r="A22" s="281"/>
      <c r="B22" s="281"/>
      <c r="C22" s="18"/>
      <c r="D22" s="281"/>
      <c r="E22" s="281"/>
    </row>
    <row r="23" spans="1:5" ht="33.75" customHeight="1" x14ac:dyDescent="0.3">
      <c r="C23" s="29" t="s">
        <v>36</v>
      </c>
      <c r="D23" s="28" t="s">
        <v>37</v>
      </c>
      <c r="E23" s="136"/>
    </row>
    <row r="24" spans="1:5" ht="15.75" customHeight="1" x14ac:dyDescent="0.3">
      <c r="C24" s="142">
        <v>592.74</v>
      </c>
      <c r="D24" s="143">
        <f t="shared" ref="D24:D43" si="0">(C24-$C$46)/$C$46</f>
        <v>-1.164700487723561E-2</v>
      </c>
      <c r="E24" s="144"/>
    </row>
    <row r="25" spans="1:5" ht="15.75" customHeight="1" x14ac:dyDescent="0.3">
      <c r="C25" s="142">
        <v>600.39</v>
      </c>
      <c r="D25" s="145">
        <f t="shared" si="0"/>
        <v>1.1088415523779229E-3</v>
      </c>
      <c r="E25" s="144"/>
    </row>
    <row r="26" spans="1:5" ht="15.75" customHeight="1" x14ac:dyDescent="0.3">
      <c r="C26" s="142">
        <v>598.70000000000005</v>
      </c>
      <c r="D26" s="145">
        <f t="shared" si="0"/>
        <v>-1.7091166784777869E-3</v>
      </c>
      <c r="E26" s="144"/>
    </row>
    <row r="27" spans="1:5" ht="15.75" customHeight="1" x14ac:dyDescent="0.3">
      <c r="C27" s="142">
        <v>608.72</v>
      </c>
      <c r="D27" s="145">
        <f t="shared" si="0"/>
        <v>1.4998540997957211E-2</v>
      </c>
      <c r="E27" s="144"/>
    </row>
    <row r="28" spans="1:5" ht="15.75" customHeight="1" x14ac:dyDescent="0.3">
      <c r="C28" s="142">
        <v>602.23</v>
      </c>
      <c r="D28" s="145">
        <f t="shared" si="0"/>
        <v>4.1769144191085598E-3</v>
      </c>
      <c r="E28" s="144"/>
    </row>
    <row r="29" spans="1:5" ht="15.75" customHeight="1" x14ac:dyDescent="0.3">
      <c r="C29" s="142">
        <v>612.1</v>
      </c>
      <c r="D29" s="145">
        <f t="shared" si="0"/>
        <v>2.0634457459668822E-2</v>
      </c>
      <c r="E29" s="144"/>
    </row>
    <row r="30" spans="1:5" ht="15.75" customHeight="1" x14ac:dyDescent="0.3">
      <c r="C30" s="142">
        <v>602.09</v>
      </c>
      <c r="D30" s="145">
        <f t="shared" si="0"/>
        <v>3.9434740922921251E-3</v>
      </c>
      <c r="E30" s="144"/>
    </row>
    <row r="31" spans="1:5" ht="15.75" customHeight="1" x14ac:dyDescent="0.3">
      <c r="C31" s="142">
        <v>574.46</v>
      </c>
      <c r="D31" s="145">
        <f t="shared" si="0"/>
        <v>-4.2127641835841584E-2</v>
      </c>
      <c r="E31" s="144"/>
    </row>
    <row r="32" spans="1:5" ht="15.75" customHeight="1" x14ac:dyDescent="0.3">
      <c r="C32" s="142">
        <v>591.67999999999995</v>
      </c>
      <c r="D32" s="145">
        <f t="shared" si="0"/>
        <v>-1.3414481637417458E-2</v>
      </c>
      <c r="E32" s="144"/>
    </row>
    <row r="33" spans="1:7" ht="15.75" customHeight="1" x14ac:dyDescent="0.3">
      <c r="C33" s="142">
        <v>597.54</v>
      </c>
      <c r="D33" s="145">
        <f t="shared" si="0"/>
        <v>-3.6433365292428566E-3</v>
      </c>
      <c r="E33" s="144"/>
    </row>
    <row r="34" spans="1:7" ht="15.75" customHeight="1" x14ac:dyDescent="0.3">
      <c r="C34" s="142">
        <v>611.23</v>
      </c>
      <c r="D34" s="145">
        <f t="shared" si="0"/>
        <v>1.9183792571595113E-2</v>
      </c>
      <c r="E34" s="144"/>
    </row>
    <row r="35" spans="1:7" ht="15.75" customHeight="1" x14ac:dyDescent="0.3">
      <c r="C35" s="142">
        <v>609.38</v>
      </c>
      <c r="D35" s="145">
        <f t="shared" si="0"/>
        <v>1.6099045395806172E-2</v>
      </c>
      <c r="E35" s="144"/>
    </row>
    <row r="36" spans="1:7" ht="15.75" customHeight="1" x14ac:dyDescent="0.3">
      <c r="C36" s="142">
        <v>596.19000000000005</v>
      </c>
      <c r="D36" s="145">
        <f t="shared" si="0"/>
        <v>-5.8943682521156882E-3</v>
      </c>
      <c r="E36" s="144"/>
    </row>
    <row r="37" spans="1:7" ht="15.75" customHeight="1" x14ac:dyDescent="0.3">
      <c r="C37" s="142">
        <v>618.66</v>
      </c>
      <c r="D37" s="145">
        <f t="shared" si="0"/>
        <v>3.1572804201925597E-2</v>
      </c>
      <c r="E37" s="144"/>
    </row>
    <row r="38" spans="1:7" ht="15.75" customHeight="1" x14ac:dyDescent="0.3">
      <c r="C38" s="142">
        <v>596.53</v>
      </c>
      <c r="D38" s="145">
        <f t="shared" si="0"/>
        <v>-5.3274417441329996E-3</v>
      </c>
      <c r="E38" s="144"/>
    </row>
    <row r="39" spans="1:7" ht="15.75" customHeight="1" x14ac:dyDescent="0.3">
      <c r="C39" s="142">
        <v>621.44000000000005</v>
      </c>
      <c r="D39" s="145">
        <f t="shared" si="0"/>
        <v>3.6208262120138252E-2</v>
      </c>
      <c r="E39" s="144"/>
    </row>
    <row r="40" spans="1:7" ht="15.75" customHeight="1" x14ac:dyDescent="0.3">
      <c r="C40" s="142">
        <v>585.32000000000005</v>
      </c>
      <c r="D40" s="145">
        <f t="shared" si="0"/>
        <v>-2.4019342198507789E-2</v>
      </c>
      <c r="E40" s="144"/>
    </row>
    <row r="41" spans="1:7" ht="15.75" customHeight="1" x14ac:dyDescent="0.3">
      <c r="C41" s="142">
        <v>613.67999999999995</v>
      </c>
      <c r="D41" s="145">
        <f t="shared" si="0"/>
        <v>2.3268998290883004E-2</v>
      </c>
      <c r="E41" s="144"/>
    </row>
    <row r="42" spans="1:7" ht="15.75" customHeight="1" x14ac:dyDescent="0.3">
      <c r="C42" s="142">
        <v>574.62</v>
      </c>
      <c r="D42" s="145">
        <f t="shared" si="0"/>
        <v>-4.1860852890908545E-2</v>
      </c>
      <c r="E42" s="144"/>
    </row>
    <row r="43" spans="1:7" ht="16.5" customHeight="1" x14ac:dyDescent="0.3">
      <c r="C43" s="146">
        <v>586.79999999999995</v>
      </c>
      <c r="D43" s="147">
        <f t="shared" si="0"/>
        <v>-2.1551544457876826E-2</v>
      </c>
      <c r="E43" s="144"/>
    </row>
    <row r="44" spans="1:7" ht="16.5" customHeight="1" x14ac:dyDescent="0.3">
      <c r="C44" s="148"/>
      <c r="D44" s="144"/>
      <c r="E44" s="149"/>
    </row>
    <row r="45" spans="1:7" ht="16.5" customHeight="1" x14ac:dyDescent="0.3">
      <c r="B45" s="150" t="s">
        <v>38</v>
      </c>
      <c r="C45" s="151">
        <f>SUM(C24:C44)</f>
        <v>11994.500000000002</v>
      </c>
      <c r="D45" s="152"/>
      <c r="E45" s="148"/>
    </row>
    <row r="46" spans="1:7" ht="17.25" customHeight="1" x14ac:dyDescent="0.3">
      <c r="B46" s="150" t="s">
        <v>39</v>
      </c>
      <c r="C46" s="27">
        <f>AVERAGE(C24:C44)</f>
        <v>599.72500000000014</v>
      </c>
      <c r="E46" s="17"/>
    </row>
    <row r="47" spans="1:7" ht="17.25" customHeight="1" x14ac:dyDescent="0.3">
      <c r="A47" s="24"/>
      <c r="B47" s="25"/>
      <c r="D47" s="19"/>
      <c r="E47" s="17"/>
    </row>
    <row r="48" spans="1:7" ht="33.75" customHeight="1" x14ac:dyDescent="0.3">
      <c r="B48" s="32" t="s">
        <v>39</v>
      </c>
      <c r="C48" s="28" t="s">
        <v>40</v>
      </c>
      <c r="D48" s="153"/>
      <c r="G48" s="19"/>
    </row>
    <row r="49" spans="1:6" ht="17.25" customHeight="1" x14ac:dyDescent="0.3">
      <c r="B49" s="275">
        <f>C46</f>
        <v>599.72500000000014</v>
      </c>
      <c r="C49" s="33">
        <f>-IF(C46&lt;=80,10%,IF(C46&lt;250,7.5%,5%))</f>
        <v>-0.05</v>
      </c>
      <c r="D49" s="26">
        <f>IF(C46&lt;=80,C46*0.9,IF(C46&lt;250,C46*0.925,C46*0.95))</f>
        <v>569.7387500000001</v>
      </c>
    </row>
    <row r="50" spans="1:6" ht="17.25" customHeight="1" x14ac:dyDescent="0.3">
      <c r="B50" s="276"/>
      <c r="C50" s="34">
        <f>IF(C46&lt;=80, 10%, IF(C46&lt;250, 7.5%, 5%))</f>
        <v>0.05</v>
      </c>
      <c r="D50" s="26">
        <f>IF(C46&lt;=80, C46*1.1, IF(C46&lt;250, C46*1.075, C46*1.05))</f>
        <v>629.71125000000018</v>
      </c>
    </row>
    <row r="51" spans="1:6" ht="16.5" customHeight="1" x14ac:dyDescent="0.3">
      <c r="A51" s="154"/>
      <c r="B51" s="3"/>
      <c r="C51" s="24"/>
      <c r="D51" s="155"/>
      <c r="E51" s="24"/>
      <c r="F51" s="141"/>
    </row>
    <row r="52" spans="1:6" ht="16.5" customHeight="1" x14ac:dyDescent="0.3">
      <c r="A52" s="24"/>
      <c r="B52" s="21" t="s">
        <v>22</v>
      </c>
      <c r="C52" s="21"/>
      <c r="D52" s="22" t="s">
        <v>23</v>
      </c>
      <c r="E52" s="22"/>
      <c r="F52" s="22" t="s">
        <v>24</v>
      </c>
    </row>
    <row r="53" spans="1:6" ht="34.5" customHeight="1" x14ac:dyDescent="0.3">
      <c r="A53" s="106" t="s">
        <v>25</v>
      </c>
      <c r="B53" s="131"/>
      <c r="C53" s="24"/>
      <c r="D53" s="131"/>
      <c r="E53" s="24"/>
      <c r="F53" s="131"/>
    </row>
    <row r="54" spans="1:6" ht="34.5" customHeight="1" x14ac:dyDescent="0.3">
      <c r="A54" s="106" t="s">
        <v>26</v>
      </c>
      <c r="B54" s="23"/>
      <c r="C54" s="24"/>
      <c r="D54" s="23"/>
      <c r="E54" s="24"/>
      <c r="F54" s="2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7" zoomScale="60" zoomScaleNormal="75" zoomScalePageLayoutView="55" workbookViewId="0">
      <selection activeCell="B20" sqref="B20:C20"/>
    </sheetView>
  </sheetViews>
  <sheetFormatPr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120"/>
  </cols>
  <sheetData>
    <row r="1" spans="1:8" x14ac:dyDescent="0.3">
      <c r="A1" s="283" t="s">
        <v>41</v>
      </c>
      <c r="B1" s="283"/>
      <c r="C1" s="283"/>
      <c r="D1" s="283"/>
      <c r="E1" s="283"/>
      <c r="F1" s="283"/>
      <c r="G1" s="283"/>
      <c r="H1" s="283"/>
    </row>
    <row r="2" spans="1:8" x14ac:dyDescent="0.3">
      <c r="A2" s="283"/>
      <c r="B2" s="283"/>
      <c r="C2" s="283"/>
      <c r="D2" s="283"/>
      <c r="E2" s="283"/>
      <c r="F2" s="283"/>
      <c r="G2" s="283"/>
      <c r="H2" s="283"/>
    </row>
    <row r="3" spans="1:8" x14ac:dyDescent="0.3">
      <c r="A3" s="283"/>
      <c r="B3" s="283"/>
      <c r="C3" s="283"/>
      <c r="D3" s="283"/>
      <c r="E3" s="283"/>
      <c r="F3" s="283"/>
      <c r="G3" s="283"/>
      <c r="H3" s="283"/>
    </row>
    <row r="4" spans="1:8" x14ac:dyDescent="0.3">
      <c r="A4" s="283"/>
      <c r="B4" s="283"/>
      <c r="C4" s="283"/>
      <c r="D4" s="283"/>
      <c r="E4" s="283"/>
      <c r="F4" s="283"/>
      <c r="G4" s="283"/>
      <c r="H4" s="283"/>
    </row>
    <row r="5" spans="1:8" x14ac:dyDescent="0.3">
      <c r="A5" s="283"/>
      <c r="B5" s="283"/>
      <c r="C5" s="283"/>
      <c r="D5" s="283"/>
      <c r="E5" s="283"/>
      <c r="F5" s="283"/>
      <c r="G5" s="283"/>
      <c r="H5" s="283"/>
    </row>
    <row r="6" spans="1:8" x14ac:dyDescent="0.3">
      <c r="A6" s="283"/>
      <c r="B6" s="283"/>
      <c r="C6" s="283"/>
      <c r="D6" s="283"/>
      <c r="E6" s="283"/>
      <c r="F6" s="283"/>
      <c r="G6" s="283"/>
      <c r="H6" s="283"/>
    </row>
    <row r="7" spans="1:8" x14ac:dyDescent="0.3">
      <c r="A7" s="283"/>
      <c r="B7" s="283"/>
      <c r="C7" s="283"/>
      <c r="D7" s="283"/>
      <c r="E7" s="283"/>
      <c r="F7" s="283"/>
      <c r="G7" s="283"/>
      <c r="H7" s="283"/>
    </row>
    <row r="8" spans="1:8" x14ac:dyDescent="0.3">
      <c r="A8" s="284" t="s">
        <v>42</v>
      </c>
      <c r="B8" s="284"/>
      <c r="C8" s="284"/>
      <c r="D8" s="284"/>
      <c r="E8" s="284"/>
      <c r="F8" s="284"/>
      <c r="G8" s="284"/>
      <c r="H8" s="284"/>
    </row>
    <row r="9" spans="1:8" x14ac:dyDescent="0.3">
      <c r="A9" s="284"/>
      <c r="B9" s="284"/>
      <c r="C9" s="284"/>
      <c r="D9" s="284"/>
      <c r="E9" s="284"/>
      <c r="F9" s="284"/>
      <c r="G9" s="284"/>
      <c r="H9" s="284"/>
    </row>
    <row r="10" spans="1:8" x14ac:dyDescent="0.3">
      <c r="A10" s="284"/>
      <c r="B10" s="284"/>
      <c r="C10" s="284"/>
      <c r="D10" s="284"/>
      <c r="E10" s="284"/>
      <c r="F10" s="284"/>
      <c r="G10" s="284"/>
      <c r="H10" s="284"/>
    </row>
    <row r="11" spans="1:8" x14ac:dyDescent="0.3">
      <c r="A11" s="284"/>
      <c r="B11" s="284"/>
      <c r="C11" s="284"/>
      <c r="D11" s="284"/>
      <c r="E11" s="284"/>
      <c r="F11" s="284"/>
      <c r="G11" s="284"/>
      <c r="H11" s="284"/>
    </row>
    <row r="12" spans="1:8" x14ac:dyDescent="0.3">
      <c r="A12" s="284"/>
      <c r="B12" s="284"/>
      <c r="C12" s="284"/>
      <c r="D12" s="284"/>
      <c r="E12" s="284"/>
      <c r="F12" s="284"/>
      <c r="G12" s="284"/>
      <c r="H12" s="284"/>
    </row>
    <row r="13" spans="1:8" x14ac:dyDescent="0.3">
      <c r="A13" s="284"/>
      <c r="B13" s="284"/>
      <c r="C13" s="284"/>
      <c r="D13" s="284"/>
      <c r="E13" s="284"/>
      <c r="F13" s="284"/>
      <c r="G13" s="284"/>
      <c r="H13" s="284"/>
    </row>
    <row r="14" spans="1:8" x14ac:dyDescent="0.3">
      <c r="A14" s="284"/>
      <c r="B14" s="284"/>
      <c r="C14" s="284"/>
      <c r="D14" s="284"/>
      <c r="E14" s="284"/>
      <c r="F14" s="284"/>
      <c r="G14" s="284"/>
      <c r="H14" s="284"/>
    </row>
    <row r="15" spans="1:8" ht="19.5" customHeight="1" x14ac:dyDescent="0.3"/>
    <row r="16" spans="1:8" ht="19.5" customHeight="1" x14ac:dyDescent="0.3">
      <c r="A16" s="285" t="s">
        <v>27</v>
      </c>
      <c r="B16" s="286"/>
      <c r="C16" s="286"/>
      <c r="D16" s="286"/>
      <c r="E16" s="286"/>
      <c r="F16" s="286"/>
      <c r="G16" s="286"/>
      <c r="H16" s="287"/>
    </row>
    <row r="17" spans="1:13" ht="18.75" x14ac:dyDescent="0.3">
      <c r="A17" s="48" t="s">
        <v>43</v>
      </c>
      <c r="B17" s="48"/>
    </row>
    <row r="18" spans="1:13" ht="26.25" x14ac:dyDescent="0.4">
      <c r="A18" s="49" t="s">
        <v>29</v>
      </c>
      <c r="B18" s="292" t="s">
        <v>5</v>
      </c>
      <c r="C18" s="292"/>
      <c r="D18" s="45"/>
      <c r="E18" s="35"/>
      <c r="F18" s="156"/>
      <c r="G18" s="156"/>
      <c r="H18" s="156"/>
    </row>
    <row r="19" spans="1:13" ht="26.25" x14ac:dyDescent="0.4">
      <c r="A19" s="49" t="s">
        <v>30</v>
      </c>
      <c r="B19" s="107" t="s">
        <v>7</v>
      </c>
      <c r="C19" s="156">
        <v>35</v>
      </c>
      <c r="D19" s="156"/>
      <c r="E19" s="156"/>
      <c r="F19" s="156"/>
      <c r="G19" s="156"/>
      <c r="H19" s="156"/>
    </row>
    <row r="20" spans="1:13" ht="26.25" x14ac:dyDescent="0.4">
      <c r="A20" s="49" t="s">
        <v>31</v>
      </c>
      <c r="B20" s="292" t="s">
        <v>9</v>
      </c>
      <c r="C20" s="292"/>
      <c r="D20" s="156"/>
      <c r="E20" s="156"/>
      <c r="F20" s="156"/>
      <c r="G20" s="156"/>
      <c r="H20" s="156"/>
    </row>
    <row r="21" spans="1:13" ht="26.25" x14ac:dyDescent="0.4">
      <c r="A21" s="49" t="s">
        <v>32</v>
      </c>
      <c r="B21" s="292" t="s">
        <v>11</v>
      </c>
      <c r="C21" s="292"/>
      <c r="D21" s="292"/>
      <c r="E21" s="292"/>
      <c r="F21" s="292"/>
      <c r="G21" s="292"/>
      <c r="H21" s="292"/>
    </row>
    <row r="22" spans="1:13" ht="26.25" x14ac:dyDescent="0.4">
      <c r="A22" s="49" t="s">
        <v>33</v>
      </c>
      <c r="B22" s="157" t="s">
        <v>116</v>
      </c>
      <c r="C22" s="156"/>
      <c r="D22" s="156"/>
      <c r="E22" s="156"/>
      <c r="F22" s="156"/>
      <c r="G22" s="156"/>
      <c r="H22" s="156"/>
    </row>
    <row r="23" spans="1:13" ht="23.25" x14ac:dyDescent="0.35">
      <c r="A23" s="49" t="s">
        <v>34</v>
      </c>
      <c r="B23" s="158" t="s">
        <v>117</v>
      </c>
    </row>
    <row r="24" spans="1:13" ht="18.75" x14ac:dyDescent="0.3">
      <c r="A24" s="49"/>
      <c r="B24" s="159"/>
    </row>
    <row r="25" spans="1:13" ht="18.75" x14ac:dyDescent="0.3">
      <c r="A25" s="50" t="s">
        <v>1</v>
      </c>
      <c r="B25" s="159"/>
    </row>
    <row r="26" spans="1:13" ht="26.25" customHeight="1" x14ac:dyDescent="0.4">
      <c r="A26" s="76" t="s">
        <v>4</v>
      </c>
      <c r="B26" s="291" t="s">
        <v>115</v>
      </c>
      <c r="C26" s="291"/>
    </row>
    <row r="27" spans="1:13" ht="26.25" customHeight="1" x14ac:dyDescent="0.4">
      <c r="A27" s="76" t="s">
        <v>44</v>
      </c>
      <c r="B27" s="82" t="s">
        <v>104</v>
      </c>
    </row>
    <row r="28" spans="1:13" ht="27" customHeight="1" x14ac:dyDescent="0.4">
      <c r="A28" s="76" t="s">
        <v>6</v>
      </c>
      <c r="B28" s="82">
        <v>99.8</v>
      </c>
    </row>
    <row r="29" spans="1:13" s="24" customFormat="1" ht="27" customHeight="1" x14ac:dyDescent="0.4">
      <c r="A29" s="76" t="s">
        <v>45</v>
      </c>
      <c r="B29" s="82">
        <v>0</v>
      </c>
      <c r="C29" s="301" t="s">
        <v>46</v>
      </c>
      <c r="D29" s="302"/>
      <c r="E29" s="302"/>
      <c r="F29" s="302"/>
      <c r="G29" s="303"/>
      <c r="I29" s="51"/>
      <c r="J29" s="51"/>
      <c r="K29" s="51"/>
    </row>
    <row r="30" spans="1:13" s="24" customFormat="1" ht="19.5" customHeight="1" x14ac:dyDescent="0.3">
      <c r="A30" s="76" t="s">
        <v>47</v>
      </c>
      <c r="B30" s="110">
        <f>B28-B29</f>
        <v>99.8</v>
      </c>
      <c r="C30" s="160"/>
      <c r="D30" s="160"/>
      <c r="E30" s="160"/>
      <c r="F30" s="160"/>
      <c r="G30" s="161"/>
      <c r="I30" s="51"/>
      <c r="J30" s="51"/>
      <c r="K30" s="51"/>
    </row>
    <row r="31" spans="1:13" s="24" customFormat="1" ht="27" customHeight="1" x14ac:dyDescent="0.4">
      <c r="A31" s="76" t="s">
        <v>48</v>
      </c>
      <c r="B31" s="83">
        <v>1</v>
      </c>
      <c r="C31" s="288" t="s">
        <v>49</v>
      </c>
      <c r="D31" s="289"/>
      <c r="E31" s="289"/>
      <c r="F31" s="289"/>
      <c r="G31" s="289"/>
      <c r="H31" s="290"/>
      <c r="I31" s="51"/>
      <c r="J31" s="51"/>
      <c r="K31" s="51"/>
    </row>
    <row r="32" spans="1:13" s="24" customFormat="1" ht="27" customHeight="1" x14ac:dyDescent="0.4">
      <c r="A32" s="76" t="s">
        <v>50</v>
      </c>
      <c r="B32" s="83">
        <v>1</v>
      </c>
      <c r="C32" s="288" t="s">
        <v>51</v>
      </c>
      <c r="D32" s="289"/>
      <c r="E32" s="289"/>
      <c r="F32" s="289"/>
      <c r="G32" s="289"/>
      <c r="H32" s="290"/>
      <c r="I32" s="51"/>
      <c r="J32" s="51"/>
      <c r="K32" s="53"/>
      <c r="L32" s="53"/>
      <c r="M32" s="162"/>
    </row>
    <row r="33" spans="1:13" s="24" customFormat="1" ht="17.25" customHeight="1" x14ac:dyDescent="0.3">
      <c r="A33" s="76"/>
      <c r="B33" s="52"/>
      <c r="C33" s="54"/>
      <c r="D33" s="54"/>
      <c r="E33" s="54"/>
      <c r="F33" s="54"/>
      <c r="G33" s="54"/>
      <c r="H33" s="54"/>
      <c r="I33" s="51"/>
      <c r="J33" s="51"/>
      <c r="K33" s="53"/>
      <c r="L33" s="53"/>
      <c r="M33" s="162"/>
    </row>
    <row r="34" spans="1:13" s="24" customFormat="1" ht="18.75" x14ac:dyDescent="0.3">
      <c r="A34" s="76" t="s">
        <v>52</v>
      </c>
      <c r="B34" s="55">
        <f>B31/B32</f>
        <v>1</v>
      </c>
      <c r="C34" s="49" t="s">
        <v>53</v>
      </c>
      <c r="D34" s="49"/>
      <c r="E34" s="49"/>
      <c r="F34" s="49"/>
      <c r="G34" s="49"/>
      <c r="I34" s="51"/>
      <c r="J34" s="51"/>
      <c r="K34" s="53"/>
      <c r="L34" s="53"/>
      <c r="M34" s="162"/>
    </row>
    <row r="35" spans="1:13" s="24" customFormat="1" ht="19.5" customHeight="1" x14ac:dyDescent="0.3">
      <c r="A35" s="76"/>
      <c r="B35" s="110"/>
      <c r="G35" s="49"/>
      <c r="I35" s="51"/>
      <c r="J35" s="51"/>
      <c r="K35" s="53"/>
      <c r="L35" s="53"/>
      <c r="M35" s="162"/>
    </row>
    <row r="36" spans="1:13" s="24" customFormat="1" ht="27" customHeight="1" x14ac:dyDescent="0.4">
      <c r="A36" s="163" t="s">
        <v>105</v>
      </c>
      <c r="B36" s="84">
        <v>100</v>
      </c>
      <c r="C36" s="49"/>
      <c r="D36" s="293" t="s">
        <v>55</v>
      </c>
      <c r="E36" s="317"/>
      <c r="F36" s="293" t="s">
        <v>56</v>
      </c>
      <c r="G36" s="294"/>
      <c r="I36" s="51"/>
      <c r="J36" s="51"/>
      <c r="K36" s="53"/>
      <c r="L36" s="53"/>
      <c r="M36" s="162"/>
    </row>
    <row r="37" spans="1:13" s="24" customFormat="1" ht="26.25" customHeight="1" x14ac:dyDescent="0.4">
      <c r="A37" s="164" t="s">
        <v>124</v>
      </c>
      <c r="B37" s="85">
        <v>1</v>
      </c>
      <c r="C37" s="56" t="s">
        <v>106</v>
      </c>
      <c r="D37" s="57" t="s">
        <v>58</v>
      </c>
      <c r="E37" s="73" t="s">
        <v>59</v>
      </c>
      <c r="F37" s="57" t="s">
        <v>58</v>
      </c>
      <c r="G37" s="58" t="s">
        <v>59</v>
      </c>
      <c r="I37" s="51"/>
      <c r="J37" s="51"/>
      <c r="K37" s="53"/>
      <c r="L37" s="53"/>
      <c r="M37" s="162"/>
    </row>
    <row r="38" spans="1:13" s="24" customFormat="1" ht="26.25" customHeight="1" x14ac:dyDescent="0.4">
      <c r="A38" s="164" t="s">
        <v>125</v>
      </c>
      <c r="B38" s="85">
        <v>1</v>
      </c>
      <c r="C38" s="165">
        <v>1</v>
      </c>
      <c r="D38" s="115">
        <v>1809092</v>
      </c>
      <c r="E38" s="166">
        <f>IF(ISBLANK(D38),"-",$D$48/$D$45*D38)</f>
        <v>1702082.0984692387</v>
      </c>
      <c r="F38" s="86">
        <v>1933870</v>
      </c>
      <c r="G38" s="167">
        <f>IF(ISBLANK(F38),"-",$D$48/$F$45*F38)</f>
        <v>1713302.8213810467</v>
      </c>
      <c r="I38" s="51"/>
      <c r="J38" s="51"/>
      <c r="K38" s="53"/>
      <c r="L38" s="53"/>
      <c r="M38" s="162"/>
    </row>
    <row r="39" spans="1:13" s="24" customFormat="1" ht="26.25" customHeight="1" x14ac:dyDescent="0.4">
      <c r="A39" s="164" t="s">
        <v>126</v>
      </c>
      <c r="B39" s="85">
        <v>1</v>
      </c>
      <c r="C39" s="77">
        <v>2</v>
      </c>
      <c r="D39" s="115">
        <v>1804375</v>
      </c>
      <c r="E39" s="168">
        <f>IF(ISBLANK(D39),"-",$D$48/$D$45*D39)</f>
        <v>1697644.1145201197</v>
      </c>
      <c r="F39" s="86">
        <v>1934870</v>
      </c>
      <c r="G39" s="169">
        <f>IF(ISBLANK(F39),"-",$D$48/$F$45*F39)</f>
        <v>1714188.7665693897</v>
      </c>
      <c r="I39" s="51"/>
      <c r="J39" s="51"/>
      <c r="K39" s="53"/>
      <c r="L39" s="53"/>
      <c r="M39" s="162"/>
    </row>
    <row r="40" spans="1:13" ht="26.25" customHeight="1" x14ac:dyDescent="0.4">
      <c r="A40" s="164" t="s">
        <v>127</v>
      </c>
      <c r="B40" s="85">
        <v>1</v>
      </c>
      <c r="C40" s="77">
        <v>3</v>
      </c>
      <c r="D40" s="115">
        <v>1804271</v>
      </c>
      <c r="E40" s="168">
        <f>IF(ISBLANK(D40),"-",$D$48/$D$45*D40)</f>
        <v>1697546.2662414026</v>
      </c>
      <c r="F40" s="86">
        <v>1931677</v>
      </c>
      <c r="G40" s="169">
        <f>IF(ISBLANK(F40),"-",$D$48/$F$45*F40)</f>
        <v>1711359.9435830102</v>
      </c>
      <c r="K40" s="53"/>
      <c r="L40" s="53"/>
      <c r="M40" s="49"/>
    </row>
    <row r="41" spans="1:13" ht="26.25" customHeight="1" x14ac:dyDescent="0.4">
      <c r="A41" s="164" t="s">
        <v>128</v>
      </c>
      <c r="B41" s="85">
        <v>1</v>
      </c>
      <c r="C41" s="170">
        <v>4</v>
      </c>
      <c r="D41" s="88">
        <v>1808600</v>
      </c>
      <c r="E41" s="171">
        <f>IF(ISBLANK(D41),"-",$D$48/$D$45*D41)</f>
        <v>1701619.2008430003</v>
      </c>
      <c r="F41" s="88">
        <v>1927950</v>
      </c>
      <c r="G41" s="172">
        <f>IF(ISBLANK(F41),"-",$D$48/$F$45*F41)</f>
        <v>1708058.0258660556</v>
      </c>
      <c r="K41" s="53"/>
      <c r="L41" s="53"/>
      <c r="M41" s="49"/>
    </row>
    <row r="42" spans="1:13" ht="27" customHeight="1" thickBot="1" x14ac:dyDescent="0.45">
      <c r="A42" s="164" t="s">
        <v>129</v>
      </c>
      <c r="B42" s="85">
        <v>1</v>
      </c>
      <c r="C42" s="173" t="s">
        <v>61</v>
      </c>
      <c r="D42" s="59">
        <f>AVERAGE(D38:D41)</f>
        <v>1806584.5</v>
      </c>
      <c r="E42" s="64">
        <f>AVERAGE(E38:E41)</f>
        <v>1699722.9200184401</v>
      </c>
      <c r="F42" s="59">
        <f>AVERAGE(F38:F41)</f>
        <v>1932091.75</v>
      </c>
      <c r="G42" s="60">
        <f>AVERAGE(G38:G41)</f>
        <v>1711727.3893498755</v>
      </c>
      <c r="H42" s="136"/>
    </row>
    <row r="43" spans="1:13" ht="26.25" customHeight="1" x14ac:dyDescent="0.4">
      <c r="A43" s="164" t="s">
        <v>130</v>
      </c>
      <c r="B43" s="82">
        <v>1</v>
      </c>
      <c r="C43" s="174" t="s">
        <v>93</v>
      </c>
      <c r="D43" s="113">
        <v>21.3</v>
      </c>
      <c r="E43" s="49"/>
      <c r="F43" s="90">
        <v>22.62</v>
      </c>
      <c r="H43" s="136"/>
    </row>
    <row r="44" spans="1:13" ht="26.25" customHeight="1" x14ac:dyDescent="0.4">
      <c r="A44" s="164" t="s">
        <v>131</v>
      </c>
      <c r="B44" s="82">
        <v>1</v>
      </c>
      <c r="C44" s="175" t="s">
        <v>94</v>
      </c>
      <c r="D44" s="176">
        <f>D43*$B$34</f>
        <v>21.3</v>
      </c>
      <c r="E44" s="110"/>
      <c r="F44" s="177">
        <f>F43*$B$34</f>
        <v>22.62</v>
      </c>
      <c r="H44" s="136"/>
    </row>
    <row r="45" spans="1:13" ht="19.5" customHeight="1" x14ac:dyDescent="0.3">
      <c r="A45" s="164" t="s">
        <v>64</v>
      </c>
      <c r="B45" s="110">
        <f>(B44/B43)*(B42/B41)*(B40/B39)*(B38/B37)*B36</f>
        <v>100</v>
      </c>
      <c r="C45" s="175" t="s">
        <v>65</v>
      </c>
      <c r="D45" s="178">
        <f>D44*$B$30/100</f>
        <v>21.257400000000004</v>
      </c>
      <c r="E45" s="52"/>
      <c r="F45" s="179">
        <f>F44*$B$30/100</f>
        <v>22.574760000000001</v>
      </c>
      <c r="H45" s="136"/>
    </row>
    <row r="46" spans="1:13" ht="19.5" customHeight="1" x14ac:dyDescent="0.3">
      <c r="A46" s="295" t="s">
        <v>66</v>
      </c>
      <c r="B46" s="296"/>
      <c r="C46" s="175" t="s">
        <v>67</v>
      </c>
      <c r="D46" s="176">
        <f>D45/$B$45</f>
        <v>0.21257400000000004</v>
      </c>
      <c r="E46" s="52"/>
      <c r="F46" s="180">
        <f>F45/$B$45</f>
        <v>0.22574760000000002</v>
      </c>
      <c r="H46" s="136"/>
    </row>
    <row r="47" spans="1:13" ht="27" customHeight="1" x14ac:dyDescent="0.4">
      <c r="A47" s="297"/>
      <c r="B47" s="298"/>
      <c r="C47" s="175" t="s">
        <v>107</v>
      </c>
      <c r="D47" s="91">
        <v>0.2</v>
      </c>
      <c r="F47" s="181"/>
      <c r="H47" s="136"/>
    </row>
    <row r="48" spans="1:13" ht="18.75" x14ac:dyDescent="0.3">
      <c r="C48" s="175" t="s">
        <v>69</v>
      </c>
      <c r="D48" s="176">
        <f>D47*$B$45</f>
        <v>20</v>
      </c>
      <c r="F48" s="181"/>
      <c r="H48" s="136"/>
    </row>
    <row r="49" spans="1:11" ht="19.5" customHeight="1" x14ac:dyDescent="0.3">
      <c r="C49" s="182" t="s">
        <v>70</v>
      </c>
      <c r="D49" s="183">
        <f>D48/B34</f>
        <v>20</v>
      </c>
      <c r="F49" s="71"/>
      <c r="H49" s="136"/>
    </row>
    <row r="50" spans="1:11" ht="18.75" x14ac:dyDescent="0.3">
      <c r="C50" s="184" t="s">
        <v>71</v>
      </c>
      <c r="D50" s="78">
        <f>AVERAGE(E38:E41,G38:G41)</f>
        <v>1705725.1546841578</v>
      </c>
      <c r="F50" s="71"/>
      <c r="H50" s="136"/>
    </row>
    <row r="51" spans="1:11" ht="18.75" x14ac:dyDescent="0.3">
      <c r="C51" s="185" t="s">
        <v>72</v>
      </c>
      <c r="D51" s="66">
        <f>STDEV(E38:E41,G38:G41)/D50</f>
        <v>4.0166057615527318E-3</v>
      </c>
      <c r="F51" s="71"/>
    </row>
    <row r="52" spans="1:11" ht="19.5" customHeight="1" x14ac:dyDescent="0.3">
      <c r="C52" s="186" t="s">
        <v>19</v>
      </c>
      <c r="D52" s="67">
        <f>COUNT(E38:E41,G38:G41)</f>
        <v>8</v>
      </c>
      <c r="F52" s="71"/>
    </row>
    <row r="54" spans="1:11" ht="18.75" x14ac:dyDescent="0.3">
      <c r="A54" s="48" t="s">
        <v>1</v>
      </c>
      <c r="B54" s="61" t="s">
        <v>73</v>
      </c>
    </row>
    <row r="55" spans="1:11" ht="18.75" x14ac:dyDescent="0.3">
      <c r="A55" s="49" t="s">
        <v>74</v>
      </c>
      <c r="B55" s="61" t="str">
        <f>B21</f>
        <v>Each tablet contains:
Artemether 20 mg
Lumefantrine 120 mg</v>
      </c>
    </row>
    <row r="56" spans="1:11" ht="26.25" customHeight="1" x14ac:dyDescent="0.4">
      <c r="A56" s="61" t="s">
        <v>75</v>
      </c>
      <c r="B56" s="82">
        <v>20</v>
      </c>
      <c r="C56" s="49" t="str">
        <f>B20</f>
        <v>Artemether &amp; Lumefantrine</v>
      </c>
      <c r="H56" s="110"/>
    </row>
    <row r="57" spans="1:11" ht="18.75" x14ac:dyDescent="0.3">
      <c r="A57" s="61" t="s">
        <v>76</v>
      </c>
      <c r="B57" s="105">
        <f>Uniformity!C46</f>
        <v>599.72500000000014</v>
      </c>
      <c r="H57" s="110"/>
    </row>
    <row r="58" spans="1:11" ht="19.5" customHeight="1" x14ac:dyDescent="0.3">
      <c r="H58" s="110"/>
    </row>
    <row r="59" spans="1:11" s="24" customFormat="1" ht="27" customHeight="1" x14ac:dyDescent="0.4">
      <c r="A59" s="163" t="s">
        <v>108</v>
      </c>
      <c r="B59" s="84">
        <v>50</v>
      </c>
      <c r="C59" s="49"/>
      <c r="D59" s="63" t="s">
        <v>78</v>
      </c>
      <c r="E59" s="62" t="s">
        <v>57</v>
      </c>
      <c r="F59" s="62" t="s">
        <v>58</v>
      </c>
      <c r="G59" s="62" t="s">
        <v>79</v>
      </c>
      <c r="H59" s="56" t="s">
        <v>80</v>
      </c>
      <c r="K59" s="51"/>
    </row>
    <row r="60" spans="1:11" s="24" customFormat="1" ht="22.5" customHeight="1" x14ac:dyDescent="0.4">
      <c r="A60" s="164" t="s">
        <v>132</v>
      </c>
      <c r="B60" s="85">
        <v>1</v>
      </c>
      <c r="C60" s="310" t="s">
        <v>81</v>
      </c>
      <c r="D60" s="314">
        <v>300.14</v>
      </c>
      <c r="E60" s="62">
        <v>1</v>
      </c>
      <c r="F60" s="92">
        <v>1707363</v>
      </c>
      <c r="G60" s="187">
        <f>IF(ISBLANK(F60),"-",(F60/$D$50*$D$47*$B$68)*($B$57/$D$60))</f>
        <v>20.000694967868611</v>
      </c>
      <c r="H60" s="188">
        <f t="shared" ref="H60:H71" si="0">IF(ISBLANK(F60),"-",G60/$B$56)</f>
        <v>1.0000347483934307</v>
      </c>
      <c r="K60" s="51"/>
    </row>
    <row r="61" spans="1:11" s="24" customFormat="1" ht="26.25" customHeight="1" x14ac:dyDescent="0.4">
      <c r="A61" s="164" t="s">
        <v>133</v>
      </c>
      <c r="B61" s="85">
        <v>1</v>
      </c>
      <c r="C61" s="311"/>
      <c r="D61" s="315"/>
      <c r="E61" s="189">
        <v>2</v>
      </c>
      <c r="F61" s="87">
        <v>1708582</v>
      </c>
      <c r="G61" s="190">
        <f>IF(ISBLANK(F61),"-",(F61/$D$50*$D$47*$B$68)*($B$57/$D$60))</f>
        <v>20.014974794224131</v>
      </c>
      <c r="H61" s="191">
        <f t="shared" si="0"/>
        <v>1.0007487397112065</v>
      </c>
      <c r="K61" s="51"/>
    </row>
    <row r="62" spans="1:11" s="24" customFormat="1" ht="26.25" customHeight="1" x14ac:dyDescent="0.4">
      <c r="A62" s="164" t="s">
        <v>134</v>
      </c>
      <c r="B62" s="85">
        <v>1</v>
      </c>
      <c r="C62" s="311"/>
      <c r="D62" s="315"/>
      <c r="E62" s="189">
        <v>3</v>
      </c>
      <c r="F62" s="41">
        <v>1702543</v>
      </c>
      <c r="G62" s="190">
        <f>IF(ISBLANK(F62),"-",(F62/$D$50*$D$47*$B$68)*($B$57/$D$60))</f>
        <v>19.944231667594959</v>
      </c>
      <c r="H62" s="191">
        <f t="shared" si="0"/>
        <v>0.99721158337974791</v>
      </c>
      <c r="K62" s="51"/>
    </row>
    <row r="63" spans="1:11" ht="21" customHeight="1" x14ac:dyDescent="0.4">
      <c r="A63" s="164" t="s">
        <v>135</v>
      </c>
      <c r="B63" s="85">
        <v>1</v>
      </c>
      <c r="C63" s="312"/>
      <c r="D63" s="316"/>
      <c r="E63" s="192">
        <v>4</v>
      </c>
      <c r="F63" s="93"/>
      <c r="G63" s="190" t="str">
        <f>IF(ISBLANK(F63),"-",(F63/$D$50*$D$47*$B$68)*($B$57/$D$60))</f>
        <v>-</v>
      </c>
      <c r="H63" s="191" t="str">
        <f t="shared" si="0"/>
        <v>-</v>
      </c>
    </row>
    <row r="64" spans="1:11" ht="26.25" customHeight="1" x14ac:dyDescent="0.4">
      <c r="A64" s="164" t="s">
        <v>136</v>
      </c>
      <c r="B64" s="85">
        <v>1</v>
      </c>
      <c r="C64" s="310" t="s">
        <v>82</v>
      </c>
      <c r="D64" s="314">
        <v>303.27999999999997</v>
      </c>
      <c r="E64" s="62">
        <v>1</v>
      </c>
      <c r="F64" s="92">
        <v>1704527</v>
      </c>
      <c r="G64" s="63">
        <f>IF(ISBLANK(F64),"-",(F64/$D$50*$D$47*$B$68)*($B$57/$D$64))</f>
        <v>19.760740385369449</v>
      </c>
      <c r="H64" s="193">
        <f t="shared" si="0"/>
        <v>0.98803701926847243</v>
      </c>
    </row>
    <row r="65" spans="1:8" ht="26.25" customHeight="1" x14ac:dyDescent="0.4">
      <c r="A65" s="164" t="s">
        <v>137</v>
      </c>
      <c r="B65" s="85">
        <v>1</v>
      </c>
      <c r="C65" s="311"/>
      <c r="D65" s="315"/>
      <c r="E65" s="189">
        <v>2</v>
      </c>
      <c r="F65" s="87">
        <v>1708651</v>
      </c>
      <c r="G65" s="194">
        <f>IF(ISBLANK(F65),"-",(F65/$D$50*$D$47*$B$68)*($B$57/$D$64))</f>
        <v>19.80855030175638</v>
      </c>
      <c r="H65" s="195">
        <f t="shared" si="0"/>
        <v>0.99042751508781901</v>
      </c>
    </row>
    <row r="66" spans="1:8" ht="26.25" customHeight="1" x14ac:dyDescent="0.4">
      <c r="A66" s="164" t="s">
        <v>138</v>
      </c>
      <c r="B66" s="85">
        <v>1</v>
      </c>
      <c r="C66" s="311"/>
      <c r="D66" s="315"/>
      <c r="E66" s="189">
        <v>3</v>
      </c>
      <c r="F66" s="87">
        <v>1718439</v>
      </c>
      <c r="G66" s="194">
        <f>IF(ISBLANK(F66),"-",(F66/$D$50*$D$47*$B$68)*($B$57/$D$64))</f>
        <v>19.922023498069489</v>
      </c>
      <c r="H66" s="195">
        <f t="shared" si="0"/>
        <v>0.9961011749034745</v>
      </c>
    </row>
    <row r="67" spans="1:8" ht="21" customHeight="1" x14ac:dyDescent="0.4">
      <c r="A67" s="164" t="s">
        <v>139</v>
      </c>
      <c r="B67" s="85">
        <v>1</v>
      </c>
      <c r="C67" s="312"/>
      <c r="D67" s="316"/>
      <c r="E67" s="192">
        <v>4</v>
      </c>
      <c r="F67" s="93"/>
      <c r="G67" s="196" t="str">
        <f>IF(ISBLANK(F67),"-",(F67/$D$50*$D$47*$B$68)*($B$57/$D$64))</f>
        <v>-</v>
      </c>
      <c r="H67" s="197" t="str">
        <f t="shared" si="0"/>
        <v>-</v>
      </c>
    </row>
    <row r="68" spans="1:8" ht="21.75" customHeight="1" x14ac:dyDescent="0.4">
      <c r="A68" s="164" t="s">
        <v>83</v>
      </c>
      <c r="B68" s="77">
        <f>(B67/B66)*(B65/B64)*(B63/B62)*(B61/B60)*B59</f>
        <v>50</v>
      </c>
      <c r="C68" s="310" t="s">
        <v>84</v>
      </c>
      <c r="D68" s="314">
        <v>307.08999999999997</v>
      </c>
      <c r="E68" s="62">
        <v>1</v>
      </c>
      <c r="F68" s="92">
        <v>1687587</v>
      </c>
      <c r="G68" s="63">
        <f>IF(ISBLANK(F68),"-",(F68/$D$50*$D$47*$B$68)*($B$57/$D$68))</f>
        <v>19.32162263518455</v>
      </c>
      <c r="H68" s="191">
        <f t="shared" si="0"/>
        <v>0.9660811317592275</v>
      </c>
    </row>
    <row r="69" spans="1:8" ht="21.75" customHeight="1" x14ac:dyDescent="0.4">
      <c r="A69" s="198" t="s">
        <v>85</v>
      </c>
      <c r="B69" s="199">
        <f>D47*B68/B56*B57</f>
        <v>299.86250000000007</v>
      </c>
      <c r="C69" s="311"/>
      <c r="D69" s="315"/>
      <c r="E69" s="189">
        <v>2</v>
      </c>
      <c r="F69" s="87">
        <v>1697428</v>
      </c>
      <c r="G69" s="194">
        <f>IF(ISBLANK(F69),"-",(F69/$D$50*$D$47*$B$68)*($B$57/$D$68))</f>
        <v>19.434294804591428</v>
      </c>
      <c r="H69" s="191">
        <f t="shared" si="0"/>
        <v>0.97171474022957138</v>
      </c>
    </row>
    <row r="70" spans="1:8" ht="22.5" customHeight="1" x14ac:dyDescent="0.4">
      <c r="A70" s="304" t="s">
        <v>66</v>
      </c>
      <c r="B70" s="305"/>
      <c r="C70" s="311"/>
      <c r="D70" s="315"/>
      <c r="E70" s="189">
        <v>3</v>
      </c>
      <c r="F70" s="87">
        <v>1698945</v>
      </c>
      <c r="G70" s="194">
        <f>IF(ISBLANK(F70),"-",(F70/$D$50*$D$47*$B$68)*($B$57/$D$68))</f>
        <v>19.451663332280713</v>
      </c>
      <c r="H70" s="191">
        <f t="shared" si="0"/>
        <v>0.97258316661403565</v>
      </c>
    </row>
    <row r="71" spans="1:8" ht="21.75" customHeight="1" x14ac:dyDescent="0.4">
      <c r="A71" s="306"/>
      <c r="B71" s="307"/>
      <c r="C71" s="313"/>
      <c r="D71" s="316"/>
      <c r="E71" s="192">
        <v>4</v>
      </c>
      <c r="F71" s="93"/>
      <c r="G71" s="196" t="str">
        <f>IF(ISBLANK(F71),"-",(F71/$D$50*$D$47*$B$68)*($B$57/$D$68))</f>
        <v>-</v>
      </c>
      <c r="H71" s="200" t="str">
        <f t="shared" si="0"/>
        <v>-</v>
      </c>
    </row>
    <row r="72" spans="1:8" ht="26.25" customHeight="1" x14ac:dyDescent="0.4">
      <c r="A72" s="110"/>
      <c r="B72" s="110"/>
      <c r="C72" s="110"/>
      <c r="D72" s="110"/>
      <c r="E72" s="110"/>
      <c r="F72" s="110"/>
      <c r="G72" s="201" t="s">
        <v>61</v>
      </c>
      <c r="H72" s="94">
        <f>AVERAGE(H60:H71)</f>
        <v>0.98699331326077611</v>
      </c>
    </row>
    <row r="73" spans="1:8" ht="26.25" customHeight="1" x14ac:dyDescent="0.4">
      <c r="C73" s="110"/>
      <c r="D73" s="110"/>
      <c r="E73" s="110"/>
      <c r="F73" s="110"/>
      <c r="G73" s="185" t="s">
        <v>72</v>
      </c>
      <c r="H73" s="95">
        <f>STDEV(H60:H71)/H72</f>
        <v>1.3583514771494457E-2</v>
      </c>
    </row>
    <row r="74" spans="1:8" ht="27" customHeight="1" x14ac:dyDescent="0.4">
      <c r="A74" s="110"/>
      <c r="B74" s="110"/>
      <c r="C74" s="110"/>
      <c r="D74" s="110"/>
      <c r="E74" s="52"/>
      <c r="F74" s="110"/>
      <c r="G74" s="186" t="s">
        <v>19</v>
      </c>
      <c r="H74" s="96">
        <f>COUNT(H60:H71)</f>
        <v>9</v>
      </c>
    </row>
    <row r="75" spans="1:8" ht="18.75" x14ac:dyDescent="0.3">
      <c r="A75" s="110"/>
      <c r="B75" s="110"/>
      <c r="C75" s="110"/>
      <c r="D75" s="110"/>
      <c r="E75" s="52"/>
      <c r="F75" s="110"/>
      <c r="G75" s="76"/>
      <c r="H75" s="110"/>
    </row>
    <row r="76" spans="1:8" ht="18.75" x14ac:dyDescent="0.3">
      <c r="A76" s="76" t="s">
        <v>109</v>
      </c>
      <c r="B76" s="76" t="s">
        <v>102</v>
      </c>
      <c r="C76" s="308" t="str">
        <f>B20</f>
        <v>Artemether &amp; Lumefantrine</v>
      </c>
      <c r="D76" s="308"/>
      <c r="E76" s="49" t="s">
        <v>88</v>
      </c>
      <c r="F76" s="49"/>
      <c r="G76" s="81">
        <f>H72</f>
        <v>0.98699331326077611</v>
      </c>
      <c r="H76" s="110"/>
    </row>
    <row r="77" spans="1:8" ht="18.75" x14ac:dyDescent="0.3">
      <c r="A77" s="110"/>
      <c r="B77" s="110"/>
      <c r="C77" s="110"/>
      <c r="D77" s="110"/>
      <c r="E77" s="52"/>
      <c r="F77" s="110"/>
      <c r="G77" s="76"/>
      <c r="H77" s="110"/>
    </row>
    <row r="78" spans="1:8" ht="26.25" customHeight="1" x14ac:dyDescent="0.4">
      <c r="A78" s="50" t="s">
        <v>110</v>
      </c>
      <c r="B78" s="50" t="s">
        <v>111</v>
      </c>
      <c r="D78" s="100" t="s">
        <v>112</v>
      </c>
    </row>
    <row r="79" spans="1:8" ht="18.75" x14ac:dyDescent="0.3">
      <c r="A79" s="50"/>
      <c r="B79" s="50"/>
    </row>
    <row r="80" spans="1:8" ht="26.25" customHeight="1" x14ac:dyDescent="0.4">
      <c r="A80" s="76" t="s">
        <v>4</v>
      </c>
      <c r="B80" s="291" t="str">
        <f>B26</f>
        <v>ARTEMETHER</v>
      </c>
      <c r="C80" s="291"/>
    </row>
    <row r="81" spans="1:11" ht="26.25" customHeight="1" x14ac:dyDescent="0.4">
      <c r="A81" s="76" t="s">
        <v>44</v>
      </c>
      <c r="B81" s="82" t="str">
        <f>B27</f>
        <v>F0J018</v>
      </c>
    </row>
    <row r="82" spans="1:11" ht="27" customHeight="1" x14ac:dyDescent="0.4">
      <c r="A82" s="76" t="s">
        <v>6</v>
      </c>
      <c r="B82" s="82">
        <f>B28</f>
        <v>99.8</v>
      </c>
    </row>
    <row r="83" spans="1:11" s="24" customFormat="1" ht="27" customHeight="1" x14ac:dyDescent="0.4">
      <c r="A83" s="76" t="s">
        <v>45</v>
      </c>
      <c r="B83" s="82">
        <f>B29</f>
        <v>0</v>
      </c>
      <c r="C83" s="301" t="s">
        <v>46</v>
      </c>
      <c r="D83" s="302"/>
      <c r="E83" s="302"/>
      <c r="F83" s="302"/>
      <c r="G83" s="303"/>
      <c r="I83" s="51"/>
      <c r="J83" s="51"/>
      <c r="K83" s="51"/>
    </row>
    <row r="84" spans="1:11" s="24" customFormat="1" ht="19.5" customHeight="1" x14ac:dyDescent="0.3">
      <c r="A84" s="76" t="s">
        <v>47</v>
      </c>
      <c r="B84" s="110">
        <f>B82-B83</f>
        <v>99.8</v>
      </c>
      <c r="C84" s="160"/>
      <c r="D84" s="160"/>
      <c r="E84" s="160"/>
      <c r="F84" s="160"/>
      <c r="G84" s="161"/>
      <c r="I84" s="51"/>
      <c r="J84" s="51"/>
      <c r="K84" s="51"/>
    </row>
    <row r="85" spans="1:11" s="24" customFormat="1" ht="27" customHeight="1" x14ac:dyDescent="0.4">
      <c r="A85" s="76" t="s">
        <v>48</v>
      </c>
      <c r="B85" s="83">
        <v>1</v>
      </c>
      <c r="C85" s="288" t="s">
        <v>49</v>
      </c>
      <c r="D85" s="289"/>
      <c r="E85" s="289"/>
      <c r="F85" s="289"/>
      <c r="G85" s="289"/>
      <c r="H85" s="290"/>
      <c r="I85" s="51"/>
      <c r="J85" s="51"/>
      <c r="K85" s="51"/>
    </row>
    <row r="86" spans="1:11" s="24" customFormat="1" ht="27" customHeight="1" x14ac:dyDescent="0.4">
      <c r="A86" s="76" t="s">
        <v>50</v>
      </c>
      <c r="B86" s="83">
        <v>1</v>
      </c>
      <c r="C86" s="288" t="s">
        <v>51</v>
      </c>
      <c r="D86" s="289"/>
      <c r="E86" s="289"/>
      <c r="F86" s="289"/>
      <c r="G86" s="289"/>
      <c r="H86" s="290"/>
      <c r="I86" s="51"/>
      <c r="J86" s="51"/>
      <c r="K86" s="51"/>
    </row>
    <row r="87" spans="1:11" s="24" customFormat="1" ht="18.75" x14ac:dyDescent="0.3">
      <c r="A87" s="76"/>
      <c r="B87" s="110"/>
      <c r="C87" s="160"/>
      <c r="D87" s="160"/>
      <c r="E87" s="160"/>
      <c r="F87" s="160"/>
      <c r="G87" s="161"/>
      <c r="I87" s="51"/>
      <c r="J87" s="51"/>
      <c r="K87" s="51"/>
    </row>
    <row r="88" spans="1:11" s="24" customFormat="1" ht="18.75" x14ac:dyDescent="0.3">
      <c r="A88" s="76" t="s">
        <v>52</v>
      </c>
      <c r="B88" s="55">
        <f>B85/B86</f>
        <v>1</v>
      </c>
      <c r="C88" s="49" t="s">
        <v>53</v>
      </c>
      <c r="D88" s="160"/>
      <c r="E88" s="160"/>
      <c r="F88" s="160"/>
      <c r="G88" s="161"/>
      <c r="I88" s="51"/>
      <c r="J88" s="51"/>
      <c r="K88" s="51"/>
    </row>
    <row r="89" spans="1:11" ht="19.5" customHeight="1" x14ac:dyDescent="0.3">
      <c r="A89" s="50"/>
      <c r="B89" s="50"/>
    </row>
    <row r="90" spans="1:11" ht="27" customHeight="1" x14ac:dyDescent="0.4">
      <c r="A90" s="163" t="s">
        <v>105</v>
      </c>
      <c r="B90" s="84">
        <v>100</v>
      </c>
      <c r="D90" s="108" t="s">
        <v>55</v>
      </c>
      <c r="E90" s="112"/>
      <c r="F90" s="293" t="s">
        <v>56</v>
      </c>
      <c r="G90" s="294"/>
    </row>
    <row r="91" spans="1:11" ht="26.25" customHeight="1" x14ac:dyDescent="0.4">
      <c r="A91" s="164" t="s">
        <v>124</v>
      </c>
      <c r="B91" s="85">
        <v>10</v>
      </c>
      <c r="C91" s="111" t="s">
        <v>106</v>
      </c>
      <c r="D91" s="57" t="s">
        <v>58</v>
      </c>
      <c r="E91" s="73" t="s">
        <v>59</v>
      </c>
      <c r="F91" s="57" t="s">
        <v>58</v>
      </c>
      <c r="G91" s="58" t="s">
        <v>59</v>
      </c>
    </row>
    <row r="92" spans="1:11" ht="26.25" customHeight="1" x14ac:dyDescent="0.4">
      <c r="A92" s="164" t="s">
        <v>125</v>
      </c>
      <c r="B92" s="85">
        <v>100</v>
      </c>
      <c r="C92" s="202">
        <v>1</v>
      </c>
      <c r="D92" s="86">
        <v>1591675</v>
      </c>
      <c r="E92" s="166">
        <f>IF(ISBLANK(D92),"-",$D$102/$D$99*D92)</f>
        <v>1333498.9376746807</v>
      </c>
      <c r="F92" s="86">
        <v>1387513</v>
      </c>
      <c r="G92" s="167">
        <f>IF(ISBLANK(F92),"-",$D$102/$F$99*F92)</f>
        <v>1324719.9496658875</v>
      </c>
    </row>
    <row r="93" spans="1:11" ht="26.25" customHeight="1" x14ac:dyDescent="0.4">
      <c r="A93" s="164" t="s">
        <v>126</v>
      </c>
      <c r="B93" s="85">
        <v>1</v>
      </c>
      <c r="C93" s="110">
        <v>2</v>
      </c>
      <c r="D93" s="87">
        <v>1585029</v>
      </c>
      <c r="E93" s="168">
        <f>IF(ISBLANK(D93),"-",$D$102/$D$99*D93)</f>
        <v>1327930.9455030465</v>
      </c>
      <c r="F93" s="87">
        <v>1383775</v>
      </c>
      <c r="G93" s="169">
        <f>IF(ISBLANK(F93),"-",$D$102/$F$99*F93)</f>
        <v>1321151.1159527251</v>
      </c>
    </row>
    <row r="94" spans="1:11" ht="26.25" customHeight="1" x14ac:dyDescent="0.4">
      <c r="A94" s="164" t="s">
        <v>127</v>
      </c>
      <c r="B94" s="85">
        <v>1</v>
      </c>
      <c r="C94" s="110">
        <v>3</v>
      </c>
      <c r="D94" s="87">
        <v>1583369</v>
      </c>
      <c r="E94" s="168">
        <f>IF(ISBLANK(D94),"-",$D$102/$D$99*D94)</f>
        <v>1326540.204154128</v>
      </c>
      <c r="F94" s="87">
        <v>1383653</v>
      </c>
      <c r="G94" s="169">
        <f>IF(ISBLANK(F94),"-",$D$102/$F$99*F94)</f>
        <v>1321034.637163799</v>
      </c>
    </row>
    <row r="95" spans="1:11" ht="26.25" customHeight="1" x14ac:dyDescent="0.4">
      <c r="A95" s="164" t="s">
        <v>128</v>
      </c>
      <c r="B95" s="85">
        <v>1</v>
      </c>
      <c r="C95" s="203">
        <v>4</v>
      </c>
      <c r="D95" s="88"/>
      <c r="E95" s="171" t="str">
        <f>IF(ISBLANK(D95),"-",$D$102/$D$99*D95)</f>
        <v>-</v>
      </c>
      <c r="F95" s="97"/>
      <c r="G95" s="172" t="str">
        <f>IF(ISBLANK(F95),"-",$D$102/$F$99*F95)</f>
        <v>-</v>
      </c>
    </row>
    <row r="96" spans="1:11" ht="27" customHeight="1" x14ac:dyDescent="0.4">
      <c r="A96" s="164" t="s">
        <v>129</v>
      </c>
      <c r="B96" s="85">
        <v>1</v>
      </c>
      <c r="C96" s="76" t="s">
        <v>61</v>
      </c>
      <c r="D96" s="79">
        <f>AVERAGE(D92:D95)</f>
        <v>1586691</v>
      </c>
      <c r="E96" s="64">
        <f>AVERAGE(E92:E95)</f>
        <v>1329323.3624439519</v>
      </c>
      <c r="F96" s="72">
        <f>AVERAGE(F92:F95)</f>
        <v>1384980.3333333333</v>
      </c>
      <c r="G96" s="74">
        <f>AVERAGE(G92:G95)</f>
        <v>1322301.9009274708</v>
      </c>
    </row>
    <row r="97" spans="1:9" ht="26.25" customHeight="1" x14ac:dyDescent="0.4">
      <c r="A97" s="164" t="s">
        <v>130</v>
      </c>
      <c r="B97" s="82">
        <v>1</v>
      </c>
      <c r="C97" s="174" t="s">
        <v>93</v>
      </c>
      <c r="D97" s="89">
        <v>23.92</v>
      </c>
      <c r="E97" s="49"/>
      <c r="F97" s="90">
        <v>20.99</v>
      </c>
    </row>
    <row r="98" spans="1:9" ht="26.25" customHeight="1" x14ac:dyDescent="0.4">
      <c r="A98" s="164" t="s">
        <v>131</v>
      </c>
      <c r="B98" s="82">
        <v>1</v>
      </c>
      <c r="C98" s="175" t="s">
        <v>94</v>
      </c>
      <c r="D98" s="176">
        <f>D97*B88</f>
        <v>23.92</v>
      </c>
      <c r="E98" s="110"/>
      <c r="F98" s="177">
        <f>F97*B88</f>
        <v>20.99</v>
      </c>
    </row>
    <row r="99" spans="1:9" ht="19.5" customHeight="1" x14ac:dyDescent="0.3">
      <c r="A99" s="164" t="s">
        <v>64</v>
      </c>
      <c r="B99" s="110">
        <f>(B98/B97)*(B96/B95)*(B94/B93)*(B92/B91)*B90</f>
        <v>1000</v>
      </c>
      <c r="C99" s="175" t="s">
        <v>65</v>
      </c>
      <c r="D99" s="178">
        <f>D98*$B$84/100</f>
        <v>23.872159999999997</v>
      </c>
      <c r="E99" s="52"/>
      <c r="F99" s="179">
        <f>F98*$B$84/100</f>
        <v>20.948019999999996</v>
      </c>
    </row>
    <row r="100" spans="1:9" ht="19.5" customHeight="1" x14ac:dyDescent="0.3">
      <c r="A100" s="295" t="s">
        <v>66</v>
      </c>
      <c r="B100" s="296"/>
      <c r="C100" s="175" t="s">
        <v>67</v>
      </c>
      <c r="D100" s="176">
        <f>D99/$B$99</f>
        <v>2.3872159999999996E-2</v>
      </c>
      <c r="E100" s="52"/>
      <c r="F100" s="180">
        <f>F99/$B$99</f>
        <v>2.0948019999999998E-2</v>
      </c>
      <c r="H100" s="136"/>
    </row>
    <row r="101" spans="1:9" ht="19.5" customHeight="1" x14ac:dyDescent="0.3">
      <c r="A101" s="297"/>
      <c r="B101" s="298"/>
      <c r="C101" s="175" t="s">
        <v>107</v>
      </c>
      <c r="D101" s="178">
        <f>$B$56/$B$117</f>
        <v>0.02</v>
      </c>
      <c r="F101" s="181"/>
      <c r="G101" s="204"/>
      <c r="H101" s="136"/>
    </row>
    <row r="102" spans="1:9" ht="18.75" x14ac:dyDescent="0.3">
      <c r="C102" s="175" t="s">
        <v>69</v>
      </c>
      <c r="D102" s="176">
        <f>D101*$B$99</f>
        <v>20</v>
      </c>
      <c r="F102" s="181"/>
      <c r="H102" s="136"/>
    </row>
    <row r="103" spans="1:9" ht="19.5" customHeight="1" x14ac:dyDescent="0.3">
      <c r="C103" s="182" t="s">
        <v>70</v>
      </c>
      <c r="D103" s="183">
        <f>D102/B34</f>
        <v>20</v>
      </c>
      <c r="F103" s="71"/>
      <c r="H103" s="136"/>
      <c r="I103" s="65"/>
    </row>
    <row r="104" spans="1:9" ht="18.75" x14ac:dyDescent="0.3">
      <c r="C104" s="184" t="s">
        <v>97</v>
      </c>
      <c r="D104" s="78">
        <f>AVERAGE(E92:E95,G92:G95)</f>
        <v>1325812.6316857112</v>
      </c>
      <c r="F104" s="71"/>
      <c r="G104" s="204"/>
      <c r="H104" s="136"/>
      <c r="I104" s="205"/>
    </row>
    <row r="105" spans="1:9" ht="18.75" x14ac:dyDescent="0.3">
      <c r="C105" s="185" t="s">
        <v>72</v>
      </c>
      <c r="D105" s="66">
        <f>STDEV(E92:E95,G92:G95)/D104</f>
        <v>3.5353349130577199E-3</v>
      </c>
      <c r="F105" s="71"/>
      <c r="H105" s="136"/>
      <c r="I105" s="205"/>
    </row>
    <row r="106" spans="1:9" ht="19.5" customHeight="1" x14ac:dyDescent="0.3">
      <c r="C106" s="186" t="s">
        <v>19</v>
      </c>
      <c r="D106" s="67">
        <f>COUNT(E92:E95,G92:G95)</f>
        <v>6</v>
      </c>
      <c r="F106" s="71"/>
      <c r="H106" s="136"/>
      <c r="I106" s="205"/>
    </row>
    <row r="107" spans="1:9" ht="19.5" customHeight="1" x14ac:dyDescent="0.3">
      <c r="A107" s="48"/>
      <c r="B107" s="48"/>
      <c r="C107" s="48"/>
      <c r="D107" s="48"/>
      <c r="E107" s="48"/>
    </row>
    <row r="108" spans="1:9" ht="26.25" customHeight="1" x14ac:dyDescent="0.4">
      <c r="A108" s="163" t="s">
        <v>98</v>
      </c>
      <c r="B108" s="84">
        <v>1000</v>
      </c>
      <c r="C108" s="108" t="s">
        <v>113</v>
      </c>
      <c r="D108" s="68" t="s">
        <v>58</v>
      </c>
      <c r="E108" s="69" t="s">
        <v>100</v>
      </c>
      <c r="F108" s="70" t="s">
        <v>101</v>
      </c>
    </row>
    <row r="109" spans="1:9" ht="26.25" customHeight="1" x14ac:dyDescent="0.4">
      <c r="A109" s="164" t="s">
        <v>132</v>
      </c>
      <c r="B109" s="85">
        <v>1</v>
      </c>
      <c r="C109" s="206">
        <v>1</v>
      </c>
      <c r="D109" s="98">
        <v>800427</v>
      </c>
      <c r="E109" s="207">
        <f t="shared" ref="E109:E114" si="1">IF(ISBLANK(D109),"-",D109/$D$104*$D$101*$B$117)</f>
        <v>12.074511599460221</v>
      </c>
      <c r="F109" s="208">
        <f t="shared" ref="F109:F114" si="2">IF(ISBLANK(D109), "-", E109/$B$56)</f>
        <v>0.60372557997301102</v>
      </c>
    </row>
    <row r="110" spans="1:9" ht="26.25" customHeight="1" x14ac:dyDescent="0.4">
      <c r="A110" s="164" t="s">
        <v>133</v>
      </c>
      <c r="B110" s="85">
        <v>1</v>
      </c>
      <c r="C110" s="206">
        <v>2</v>
      </c>
      <c r="D110" s="98">
        <v>795695</v>
      </c>
      <c r="E110" s="209">
        <f t="shared" si="1"/>
        <v>12.00312896383118</v>
      </c>
      <c r="F110" s="210">
        <f t="shared" si="2"/>
        <v>0.600156448191559</v>
      </c>
    </row>
    <row r="111" spans="1:9" ht="26.25" customHeight="1" x14ac:dyDescent="0.4">
      <c r="A111" s="164" t="s">
        <v>134</v>
      </c>
      <c r="B111" s="85">
        <v>1</v>
      </c>
      <c r="C111" s="206">
        <v>3</v>
      </c>
      <c r="D111" s="98">
        <v>867243</v>
      </c>
      <c r="E111" s="209">
        <f t="shared" si="1"/>
        <v>13.08243682815632</v>
      </c>
      <c r="F111" s="210">
        <f t="shared" si="2"/>
        <v>0.65412184140781604</v>
      </c>
    </row>
    <row r="112" spans="1:9" ht="26.25" customHeight="1" x14ac:dyDescent="0.4">
      <c r="A112" s="164" t="s">
        <v>135</v>
      </c>
      <c r="B112" s="85">
        <v>1</v>
      </c>
      <c r="C112" s="206">
        <v>4</v>
      </c>
      <c r="D112" s="98">
        <v>828242</v>
      </c>
      <c r="E112" s="209">
        <f t="shared" si="1"/>
        <v>12.494103317554419</v>
      </c>
      <c r="F112" s="210">
        <f t="shared" si="2"/>
        <v>0.62470516587772096</v>
      </c>
    </row>
    <row r="113" spans="1:9" ht="26.25" customHeight="1" x14ac:dyDescent="0.4">
      <c r="A113" s="164" t="s">
        <v>136</v>
      </c>
      <c r="B113" s="85">
        <v>1</v>
      </c>
      <c r="C113" s="206">
        <v>5</v>
      </c>
      <c r="D113" s="98">
        <v>810727</v>
      </c>
      <c r="E113" s="209">
        <f t="shared" si="1"/>
        <v>12.229888004147268</v>
      </c>
      <c r="F113" s="210">
        <f t="shared" si="2"/>
        <v>0.61149440020736345</v>
      </c>
    </row>
    <row r="114" spans="1:9" ht="26.25" customHeight="1" x14ac:dyDescent="0.4">
      <c r="A114" s="164" t="s">
        <v>137</v>
      </c>
      <c r="B114" s="85">
        <v>1</v>
      </c>
      <c r="C114" s="211">
        <v>6</v>
      </c>
      <c r="D114" s="99">
        <v>822376</v>
      </c>
      <c r="E114" s="212">
        <f t="shared" si="1"/>
        <v>12.40561419232197</v>
      </c>
      <c r="F114" s="213">
        <f t="shared" si="2"/>
        <v>0.62028070961609849</v>
      </c>
    </row>
    <row r="115" spans="1:9" ht="26.25" customHeight="1" x14ac:dyDescent="0.4">
      <c r="A115" s="164" t="s">
        <v>138</v>
      </c>
      <c r="B115" s="85">
        <v>1</v>
      </c>
      <c r="C115" s="206"/>
      <c r="D115" s="110"/>
      <c r="E115" s="49"/>
      <c r="F115" s="214"/>
    </row>
    <row r="116" spans="1:9" ht="26.25" customHeight="1" x14ac:dyDescent="0.4">
      <c r="A116" s="164" t="s">
        <v>139</v>
      </c>
      <c r="B116" s="85">
        <v>1</v>
      </c>
      <c r="C116" s="206"/>
      <c r="D116" s="71"/>
      <c r="E116" s="215" t="s">
        <v>61</v>
      </c>
      <c r="F116" s="101">
        <f>AVERAGE(F109:F114)</f>
        <v>0.61908069087892814</v>
      </c>
    </row>
    <row r="117" spans="1:9" ht="27" customHeight="1" x14ac:dyDescent="0.4">
      <c r="A117" s="164" t="s">
        <v>83</v>
      </c>
      <c r="B117" s="77">
        <f>(B116/B115)*(B114/B113)*(B112/B111)*(B110/B109)*B108</f>
        <v>1000</v>
      </c>
      <c r="C117" s="216"/>
      <c r="D117" s="217"/>
      <c r="E117" s="76" t="s">
        <v>72</v>
      </c>
      <c r="F117" s="102">
        <f>STDEV(F109:F114)/F116</f>
        <v>3.1590669634800402E-2</v>
      </c>
    </row>
    <row r="118" spans="1:9" ht="27" customHeight="1" x14ac:dyDescent="0.4">
      <c r="A118" s="295" t="s">
        <v>66</v>
      </c>
      <c r="B118" s="299"/>
      <c r="C118" s="218"/>
      <c r="D118" s="219"/>
      <c r="E118" s="220" t="s">
        <v>19</v>
      </c>
      <c r="F118" s="103">
        <f>COUNT(F109:F114)</f>
        <v>6</v>
      </c>
      <c r="I118" s="205"/>
    </row>
    <row r="119" spans="1:9" ht="19.5" customHeight="1" x14ac:dyDescent="0.3">
      <c r="A119" s="297"/>
      <c r="B119" s="300"/>
      <c r="C119" s="49"/>
      <c r="D119" s="49"/>
      <c r="E119" s="49"/>
      <c r="F119" s="110"/>
      <c r="G119" s="49"/>
      <c r="H119" s="49"/>
    </row>
    <row r="120" spans="1:9" ht="18.75" x14ac:dyDescent="0.3">
      <c r="A120" s="54"/>
      <c r="B120" s="54"/>
      <c r="C120" s="49"/>
      <c r="D120" s="49"/>
      <c r="E120" s="49"/>
      <c r="F120" s="110"/>
      <c r="G120" s="49"/>
      <c r="H120" s="49"/>
    </row>
    <row r="121" spans="1:9" ht="26.25" customHeight="1" x14ac:dyDescent="0.4">
      <c r="A121" s="76" t="s">
        <v>109</v>
      </c>
      <c r="B121" s="76" t="s">
        <v>102</v>
      </c>
      <c r="C121" s="308" t="str">
        <f>B20</f>
        <v>Artemether &amp; Lumefantrine</v>
      </c>
      <c r="D121" s="308"/>
      <c r="E121" s="49" t="s">
        <v>103</v>
      </c>
      <c r="F121" s="49"/>
      <c r="G121" s="104">
        <f>F116</f>
        <v>0.61908069087892814</v>
      </c>
      <c r="H121" s="49"/>
    </row>
    <row r="122" spans="1:9" ht="18.75" x14ac:dyDescent="0.3">
      <c r="A122" s="54"/>
      <c r="B122" s="54"/>
      <c r="C122" s="49"/>
      <c r="D122" s="49"/>
      <c r="E122" s="49"/>
      <c r="F122" s="110"/>
      <c r="G122" s="49"/>
      <c r="H122" s="49"/>
    </row>
    <row r="123" spans="1:9" ht="26.25" customHeight="1" x14ac:dyDescent="0.4">
      <c r="A123" s="50" t="s">
        <v>110</v>
      </c>
      <c r="B123" s="50" t="s">
        <v>111</v>
      </c>
      <c r="D123" s="100" t="s">
        <v>114</v>
      </c>
    </row>
    <row r="124" spans="1:9" ht="19.5" customHeight="1" x14ac:dyDescent="0.3">
      <c r="A124" s="48"/>
      <c r="B124" s="48"/>
      <c r="C124" s="48"/>
      <c r="D124" s="48"/>
      <c r="E124" s="48"/>
    </row>
    <row r="125" spans="1:9" ht="26.25" customHeight="1" x14ac:dyDescent="0.4">
      <c r="A125" s="163" t="s">
        <v>98</v>
      </c>
      <c r="B125" s="84">
        <v>1000</v>
      </c>
      <c r="C125" s="108" t="s">
        <v>113</v>
      </c>
      <c r="D125" s="68" t="s">
        <v>58</v>
      </c>
      <c r="E125" s="69" t="s">
        <v>100</v>
      </c>
      <c r="F125" s="70" t="s">
        <v>101</v>
      </c>
    </row>
    <row r="126" spans="1:9" ht="26.25" customHeight="1" x14ac:dyDescent="0.4">
      <c r="A126" s="164" t="s">
        <v>132</v>
      </c>
      <c r="B126" s="85">
        <v>1</v>
      </c>
      <c r="C126" s="206">
        <v>1</v>
      </c>
      <c r="D126" s="98">
        <v>1064512</v>
      </c>
      <c r="E126" s="221">
        <f t="shared" ref="E126:E131" si="3">IF(ISBLANK(D126),"-",D126/$D$104*$D$101*$B$134)</f>
        <v>16.058257020021312</v>
      </c>
      <c r="F126" s="222">
        <f t="shared" ref="F126:F131" si="4">IF(ISBLANK(D126), "-", E126/$B$56)</f>
        <v>0.80291285100106558</v>
      </c>
    </row>
    <row r="127" spans="1:9" ht="26.25" customHeight="1" x14ac:dyDescent="0.4">
      <c r="A127" s="164" t="s">
        <v>133</v>
      </c>
      <c r="B127" s="85">
        <v>1</v>
      </c>
      <c r="C127" s="206">
        <v>2</v>
      </c>
      <c r="D127" s="98">
        <v>1097173</v>
      </c>
      <c r="E127" s="223">
        <f t="shared" si="3"/>
        <v>16.550951073757592</v>
      </c>
      <c r="F127" s="224">
        <f t="shared" si="4"/>
        <v>0.82754755368787958</v>
      </c>
    </row>
    <row r="128" spans="1:9" ht="26.25" customHeight="1" x14ac:dyDescent="0.4">
      <c r="A128" s="164" t="s">
        <v>134</v>
      </c>
      <c r="B128" s="85">
        <v>1</v>
      </c>
      <c r="C128" s="206">
        <v>3</v>
      </c>
      <c r="D128" s="98">
        <v>1039020</v>
      </c>
      <c r="E128" s="223">
        <f t="shared" si="3"/>
        <v>15.673707960964782</v>
      </c>
      <c r="F128" s="224">
        <f t="shared" si="4"/>
        <v>0.78368539804823911</v>
      </c>
    </row>
    <row r="129" spans="1:9" ht="26.25" customHeight="1" x14ac:dyDescent="0.4">
      <c r="A129" s="164" t="s">
        <v>135</v>
      </c>
      <c r="B129" s="85">
        <v>1</v>
      </c>
      <c r="C129" s="206">
        <v>4</v>
      </c>
      <c r="D129" s="98">
        <v>1112185</v>
      </c>
      <c r="E129" s="223">
        <f t="shared" si="3"/>
        <v>16.777408412317005</v>
      </c>
      <c r="F129" s="224">
        <f t="shared" si="4"/>
        <v>0.83887042061585027</v>
      </c>
    </row>
    <row r="130" spans="1:9" ht="26.25" customHeight="1" x14ac:dyDescent="0.4">
      <c r="A130" s="164" t="s">
        <v>136</v>
      </c>
      <c r="B130" s="85">
        <v>1</v>
      </c>
      <c r="C130" s="206">
        <v>5</v>
      </c>
      <c r="D130" s="98">
        <v>1042742</v>
      </c>
      <c r="E130" s="223">
        <f t="shared" si="3"/>
        <v>15.729854657881791</v>
      </c>
      <c r="F130" s="224">
        <f t="shared" si="4"/>
        <v>0.78649273289408961</v>
      </c>
    </row>
    <row r="131" spans="1:9" ht="26.25" customHeight="1" x14ac:dyDescent="0.4">
      <c r="A131" s="164" t="s">
        <v>137</v>
      </c>
      <c r="B131" s="85">
        <v>1</v>
      </c>
      <c r="C131" s="211">
        <v>6</v>
      </c>
      <c r="D131" s="99">
        <v>1065864</v>
      </c>
      <c r="E131" s="225">
        <f t="shared" si="3"/>
        <v>16.078652058772466</v>
      </c>
      <c r="F131" s="226">
        <f t="shared" si="4"/>
        <v>0.80393260293862334</v>
      </c>
    </row>
    <row r="132" spans="1:9" ht="26.25" customHeight="1" x14ac:dyDescent="0.4">
      <c r="A132" s="164" t="s">
        <v>138</v>
      </c>
      <c r="B132" s="85">
        <v>1</v>
      </c>
      <c r="C132" s="206"/>
      <c r="D132" s="110"/>
      <c r="E132" s="49"/>
      <c r="F132" s="214"/>
    </row>
    <row r="133" spans="1:9" ht="26.25" customHeight="1" x14ac:dyDescent="0.4">
      <c r="A133" s="164" t="s">
        <v>139</v>
      </c>
      <c r="B133" s="85">
        <v>1</v>
      </c>
      <c r="C133" s="206"/>
      <c r="D133" s="71"/>
      <c r="E133" s="215" t="s">
        <v>61</v>
      </c>
      <c r="F133" s="101">
        <f>AVERAGE(F126:F131)</f>
        <v>0.80724025986429115</v>
      </c>
    </row>
    <row r="134" spans="1:9" ht="27" customHeight="1" x14ac:dyDescent="0.4">
      <c r="A134" s="164" t="s">
        <v>83</v>
      </c>
      <c r="B134" s="227">
        <f>(B133/B132)*(B131/B130)*(B129/B128)*(B127/B126)*B125</f>
        <v>1000</v>
      </c>
      <c r="C134" s="216"/>
      <c r="D134" s="217"/>
      <c r="E134" s="76" t="s">
        <v>72</v>
      </c>
      <c r="F134" s="102">
        <f>STDEV(F126:F131)/F133</f>
        <v>2.7297299493733339E-2</v>
      </c>
    </row>
    <row r="135" spans="1:9" ht="27" customHeight="1" x14ac:dyDescent="0.4">
      <c r="A135" s="295" t="s">
        <v>66</v>
      </c>
      <c r="B135" s="299"/>
      <c r="C135" s="218"/>
      <c r="D135" s="219"/>
      <c r="E135" s="220" t="s">
        <v>19</v>
      </c>
      <c r="F135" s="103">
        <f>COUNT(F126:F131)</f>
        <v>6</v>
      </c>
      <c r="I135" s="205"/>
    </row>
    <row r="136" spans="1:9" ht="19.5" customHeight="1" x14ac:dyDescent="0.3">
      <c r="A136" s="297"/>
      <c r="B136" s="300"/>
      <c r="C136" s="49"/>
      <c r="D136" s="49"/>
      <c r="E136" s="49"/>
      <c r="F136" s="110"/>
      <c r="G136" s="49"/>
      <c r="H136" s="49"/>
    </row>
    <row r="137" spans="1:9" ht="18.75" x14ac:dyDescent="0.3">
      <c r="A137" s="54"/>
      <c r="B137" s="54"/>
      <c r="C137" s="49"/>
      <c r="D137" s="49"/>
      <c r="E137" s="49"/>
      <c r="F137" s="110"/>
      <c r="G137" s="49"/>
      <c r="H137" s="49"/>
    </row>
    <row r="138" spans="1:9" ht="26.25" customHeight="1" x14ac:dyDescent="0.4">
      <c r="A138" s="76" t="s">
        <v>109</v>
      </c>
      <c r="B138" s="76" t="s">
        <v>102</v>
      </c>
      <c r="C138" s="308" t="str">
        <f>B20</f>
        <v>Artemether &amp; Lumefantrine</v>
      </c>
      <c r="D138" s="308"/>
      <c r="E138" s="49" t="s">
        <v>103</v>
      </c>
      <c r="F138" s="49"/>
      <c r="G138" s="104">
        <f>F133</f>
        <v>0.80724025986429115</v>
      </c>
      <c r="H138" s="49"/>
    </row>
    <row r="139" spans="1:9" ht="19.5" customHeight="1" x14ac:dyDescent="0.3">
      <c r="A139" s="109"/>
      <c r="B139" s="109"/>
      <c r="C139" s="228"/>
      <c r="D139" s="228"/>
      <c r="E139" s="228"/>
      <c r="F139" s="228"/>
      <c r="G139" s="228"/>
      <c r="H139" s="228"/>
    </row>
    <row r="140" spans="1:9" ht="18.75" x14ac:dyDescent="0.3">
      <c r="B140" s="309" t="s">
        <v>22</v>
      </c>
      <c r="C140" s="309"/>
      <c r="E140" s="111" t="s">
        <v>23</v>
      </c>
      <c r="F140" s="111"/>
      <c r="G140" s="309" t="s">
        <v>24</v>
      </c>
      <c r="H140" s="309"/>
    </row>
    <row r="141" spans="1:9" ht="39.75" customHeight="1" x14ac:dyDescent="0.3">
      <c r="A141" s="76" t="s">
        <v>25</v>
      </c>
      <c r="B141" s="229"/>
      <c r="C141" s="229"/>
      <c r="E141" s="230"/>
      <c r="F141" s="49"/>
      <c r="G141" s="230"/>
      <c r="H141" s="230"/>
    </row>
    <row r="142" spans="1:9" ht="39" customHeight="1" x14ac:dyDescent="0.3">
      <c r="A142" s="76" t="s">
        <v>26</v>
      </c>
      <c r="B142" s="80"/>
      <c r="C142" s="80"/>
      <c r="E142" s="75"/>
      <c r="F142" s="49"/>
      <c r="G142" s="75"/>
      <c r="H142" s="75"/>
    </row>
    <row r="143" spans="1:9" ht="18.75" x14ac:dyDescent="0.3">
      <c r="A143" s="110"/>
      <c r="B143" s="110"/>
      <c r="C143" s="110"/>
      <c r="D143" s="110"/>
      <c r="E143" s="110"/>
      <c r="F143" s="52"/>
      <c r="G143" s="110"/>
      <c r="H143" s="110"/>
    </row>
    <row r="144" spans="1:9" ht="18.75" x14ac:dyDescent="0.3">
      <c r="A144" s="110"/>
      <c r="B144" s="110"/>
      <c r="C144" s="110"/>
      <c r="D144" s="110"/>
      <c r="E144" s="110"/>
      <c r="F144" s="52"/>
      <c r="G144" s="110"/>
      <c r="H144" s="110"/>
    </row>
    <row r="145" spans="1:8" ht="18.75" x14ac:dyDescent="0.3">
      <c r="A145" s="110"/>
      <c r="B145" s="110"/>
      <c r="C145" s="110"/>
      <c r="D145" s="110"/>
      <c r="E145" s="110"/>
      <c r="F145" s="52"/>
      <c r="G145" s="110"/>
      <c r="H145" s="110"/>
    </row>
    <row r="146" spans="1:8" ht="18.75" x14ac:dyDescent="0.3">
      <c r="A146" s="110"/>
      <c r="B146" s="110"/>
      <c r="C146" s="110"/>
      <c r="D146" s="110"/>
      <c r="E146" s="110"/>
      <c r="F146" s="52"/>
      <c r="G146" s="110"/>
      <c r="H146" s="110"/>
    </row>
    <row r="147" spans="1:8" ht="18.75" x14ac:dyDescent="0.3">
      <c r="A147" s="110"/>
      <c r="B147" s="110"/>
      <c r="C147" s="110"/>
      <c r="D147" s="110"/>
      <c r="E147" s="110"/>
      <c r="F147" s="52"/>
      <c r="G147" s="110"/>
      <c r="H147" s="110"/>
    </row>
    <row r="148" spans="1:8" ht="18.75" x14ac:dyDescent="0.3">
      <c r="A148" s="110"/>
      <c r="B148" s="110"/>
      <c r="C148" s="110"/>
      <c r="D148" s="110"/>
      <c r="E148" s="110"/>
      <c r="F148" s="52"/>
      <c r="G148" s="110"/>
      <c r="H148" s="110"/>
    </row>
    <row r="149" spans="1:8" ht="18.75" x14ac:dyDescent="0.3">
      <c r="A149" s="110"/>
      <c r="B149" s="110"/>
      <c r="C149" s="110"/>
      <c r="D149" s="110"/>
      <c r="E149" s="110"/>
      <c r="F149" s="52"/>
      <c r="G149" s="110"/>
      <c r="H149" s="110"/>
    </row>
    <row r="150" spans="1:8" ht="18.75" x14ac:dyDescent="0.3">
      <c r="A150" s="110"/>
      <c r="B150" s="110"/>
      <c r="C150" s="110"/>
      <c r="D150" s="110"/>
      <c r="E150" s="110"/>
      <c r="F150" s="52"/>
      <c r="G150" s="110"/>
      <c r="H150" s="110"/>
    </row>
    <row r="151" spans="1:8" ht="18.75" x14ac:dyDescent="0.3">
      <c r="A151" s="110"/>
      <c r="B151" s="110"/>
      <c r="C151" s="110"/>
      <c r="D151" s="110"/>
      <c r="E151" s="110"/>
      <c r="F151" s="52"/>
      <c r="G151" s="110"/>
      <c r="H151" s="110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  <mergeCell ref="B20:C20"/>
    <mergeCell ref="B21:H21"/>
  </mergeCells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5" workbookViewId="0">
      <selection activeCell="B20" sqref="B20:C20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120"/>
  </cols>
  <sheetData>
    <row r="1" spans="1:9" ht="18.75" customHeight="1" x14ac:dyDescent="0.3">
      <c r="A1" s="283" t="s">
        <v>41</v>
      </c>
      <c r="B1" s="283"/>
      <c r="C1" s="283"/>
      <c r="D1" s="283"/>
      <c r="E1" s="283"/>
      <c r="F1" s="283"/>
      <c r="G1" s="283"/>
      <c r="H1" s="283"/>
      <c r="I1" s="283"/>
    </row>
    <row r="2" spans="1:9" ht="18.75" customHeight="1" x14ac:dyDescent="0.3">
      <c r="A2" s="283"/>
      <c r="B2" s="283"/>
      <c r="C2" s="283"/>
      <c r="D2" s="283"/>
      <c r="E2" s="283"/>
      <c r="F2" s="283"/>
      <c r="G2" s="283"/>
      <c r="H2" s="283"/>
      <c r="I2" s="283"/>
    </row>
    <row r="3" spans="1:9" ht="18.75" customHeight="1" x14ac:dyDescent="0.3">
      <c r="A3" s="283"/>
      <c r="B3" s="283"/>
      <c r="C3" s="283"/>
      <c r="D3" s="283"/>
      <c r="E3" s="283"/>
      <c r="F3" s="283"/>
      <c r="G3" s="283"/>
      <c r="H3" s="283"/>
      <c r="I3" s="283"/>
    </row>
    <row r="4" spans="1:9" ht="18.75" customHeight="1" x14ac:dyDescent="0.3">
      <c r="A4" s="283"/>
      <c r="B4" s="283"/>
      <c r="C4" s="283"/>
      <c r="D4" s="283"/>
      <c r="E4" s="283"/>
      <c r="F4" s="283"/>
      <c r="G4" s="283"/>
      <c r="H4" s="283"/>
      <c r="I4" s="283"/>
    </row>
    <row r="5" spans="1:9" ht="18.75" customHeight="1" x14ac:dyDescent="0.3">
      <c r="A5" s="283"/>
      <c r="B5" s="283"/>
      <c r="C5" s="283"/>
      <c r="D5" s="283"/>
      <c r="E5" s="283"/>
      <c r="F5" s="283"/>
      <c r="G5" s="283"/>
      <c r="H5" s="283"/>
      <c r="I5" s="283"/>
    </row>
    <row r="6" spans="1:9" ht="18.75" customHeight="1" x14ac:dyDescent="0.3">
      <c r="A6" s="283"/>
      <c r="B6" s="283"/>
      <c r="C6" s="283"/>
      <c r="D6" s="283"/>
      <c r="E6" s="283"/>
      <c r="F6" s="283"/>
      <c r="G6" s="283"/>
      <c r="H6" s="283"/>
      <c r="I6" s="283"/>
    </row>
    <row r="7" spans="1:9" ht="18.75" customHeight="1" x14ac:dyDescent="0.3">
      <c r="A7" s="283"/>
      <c r="B7" s="283"/>
      <c r="C7" s="283"/>
      <c r="D7" s="283"/>
      <c r="E7" s="283"/>
      <c r="F7" s="283"/>
      <c r="G7" s="283"/>
      <c r="H7" s="283"/>
      <c r="I7" s="283"/>
    </row>
    <row r="8" spans="1:9" x14ac:dyDescent="0.3">
      <c r="A8" s="284" t="s">
        <v>42</v>
      </c>
      <c r="B8" s="284"/>
      <c r="C8" s="284"/>
      <c r="D8" s="284"/>
      <c r="E8" s="284"/>
      <c r="F8" s="284"/>
      <c r="G8" s="284"/>
      <c r="H8" s="284"/>
      <c r="I8" s="284"/>
    </row>
    <row r="9" spans="1:9" x14ac:dyDescent="0.3">
      <c r="A9" s="284"/>
      <c r="B9" s="284"/>
      <c r="C9" s="284"/>
      <c r="D9" s="284"/>
      <c r="E9" s="284"/>
      <c r="F9" s="284"/>
      <c r="G9" s="284"/>
      <c r="H9" s="284"/>
      <c r="I9" s="284"/>
    </row>
    <row r="10" spans="1:9" x14ac:dyDescent="0.3">
      <c r="A10" s="284"/>
      <c r="B10" s="284"/>
      <c r="C10" s="284"/>
      <c r="D10" s="284"/>
      <c r="E10" s="284"/>
      <c r="F10" s="284"/>
      <c r="G10" s="284"/>
      <c r="H10" s="284"/>
      <c r="I10" s="284"/>
    </row>
    <row r="11" spans="1:9" x14ac:dyDescent="0.3">
      <c r="A11" s="284"/>
      <c r="B11" s="284"/>
      <c r="C11" s="284"/>
      <c r="D11" s="284"/>
      <c r="E11" s="284"/>
      <c r="F11" s="284"/>
      <c r="G11" s="284"/>
      <c r="H11" s="284"/>
      <c r="I11" s="284"/>
    </row>
    <row r="12" spans="1:9" x14ac:dyDescent="0.3">
      <c r="A12" s="284"/>
      <c r="B12" s="284"/>
      <c r="C12" s="284"/>
      <c r="D12" s="284"/>
      <c r="E12" s="284"/>
      <c r="F12" s="284"/>
      <c r="G12" s="284"/>
      <c r="H12" s="284"/>
      <c r="I12" s="284"/>
    </row>
    <row r="13" spans="1:9" x14ac:dyDescent="0.3">
      <c r="A13" s="284"/>
      <c r="B13" s="284"/>
      <c r="C13" s="284"/>
      <c r="D13" s="284"/>
      <c r="E13" s="284"/>
      <c r="F13" s="284"/>
      <c r="G13" s="284"/>
      <c r="H13" s="284"/>
      <c r="I13" s="284"/>
    </row>
    <row r="14" spans="1:9" x14ac:dyDescent="0.3">
      <c r="A14" s="284"/>
      <c r="B14" s="284"/>
      <c r="C14" s="284"/>
      <c r="D14" s="284"/>
      <c r="E14" s="284"/>
      <c r="F14" s="284"/>
      <c r="G14" s="284"/>
      <c r="H14" s="284"/>
      <c r="I14" s="284"/>
    </row>
    <row r="15" spans="1:9" ht="19.5" customHeight="1" x14ac:dyDescent="0.3">
      <c r="A15" s="49"/>
    </row>
    <row r="16" spans="1:9" ht="19.5" customHeight="1" x14ac:dyDescent="0.3">
      <c r="A16" s="318" t="s">
        <v>27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3">
      <c r="A17" s="321" t="s">
        <v>43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49" t="s">
        <v>29</v>
      </c>
      <c r="B18" s="292" t="s">
        <v>5</v>
      </c>
      <c r="C18" s="292"/>
      <c r="D18" s="45"/>
      <c r="E18" s="35"/>
      <c r="F18" s="156"/>
      <c r="G18" s="156"/>
      <c r="H18" s="156"/>
    </row>
    <row r="19" spans="1:14" ht="26.25" customHeight="1" x14ac:dyDescent="0.4">
      <c r="A19" s="49" t="s">
        <v>30</v>
      </c>
      <c r="B19" s="107" t="s">
        <v>7</v>
      </c>
      <c r="C19" s="156">
        <v>29</v>
      </c>
      <c r="D19" s="156"/>
      <c r="E19" s="156"/>
      <c r="F19" s="156"/>
      <c r="G19" s="156"/>
      <c r="H19" s="156"/>
    </row>
    <row r="20" spans="1:14" ht="26.25" customHeight="1" x14ac:dyDescent="0.4">
      <c r="A20" s="49" t="s">
        <v>31</v>
      </c>
      <c r="B20" s="292" t="s">
        <v>9</v>
      </c>
      <c r="C20" s="292"/>
      <c r="D20" s="156"/>
      <c r="E20" s="156"/>
      <c r="F20" s="156"/>
      <c r="G20" s="156"/>
      <c r="H20" s="156"/>
    </row>
    <row r="21" spans="1:14" ht="26.25" customHeight="1" x14ac:dyDescent="0.4">
      <c r="A21" s="49" t="s">
        <v>32</v>
      </c>
      <c r="B21" s="292" t="s">
        <v>11</v>
      </c>
      <c r="C21" s="292"/>
      <c r="D21" s="292"/>
      <c r="E21" s="292"/>
      <c r="F21" s="292"/>
      <c r="G21" s="292"/>
      <c r="H21" s="292"/>
      <c r="I21" s="231"/>
    </row>
    <row r="22" spans="1:14" ht="26.25" customHeight="1" x14ac:dyDescent="0.4">
      <c r="A22" s="49" t="s">
        <v>33</v>
      </c>
      <c r="B22" s="232" t="str">
        <f>'ARTEMETHER '!B22</f>
        <v>29TH Oct 2015</v>
      </c>
      <c r="C22" s="156"/>
      <c r="D22" s="156"/>
      <c r="E22" s="156"/>
      <c r="F22" s="156"/>
      <c r="G22" s="156"/>
      <c r="H22" s="156"/>
    </row>
    <row r="23" spans="1:14" ht="26.25" customHeight="1" x14ac:dyDescent="0.4">
      <c r="A23" s="49" t="s">
        <v>34</v>
      </c>
      <c r="B23" s="232" t="str">
        <f>'ARTEMETHER '!B23</f>
        <v>4th Dec 2015</v>
      </c>
      <c r="C23" s="156"/>
      <c r="D23" s="156"/>
      <c r="E23" s="156"/>
      <c r="F23" s="156"/>
      <c r="G23" s="156"/>
      <c r="H23" s="156"/>
    </row>
    <row r="24" spans="1:14" ht="18.75" x14ac:dyDescent="0.3">
      <c r="A24" s="49"/>
      <c r="B24" s="159"/>
    </row>
    <row r="25" spans="1:14" ht="18.75" x14ac:dyDescent="0.3">
      <c r="A25" s="50" t="s">
        <v>1</v>
      </c>
      <c r="B25" s="159"/>
    </row>
    <row r="26" spans="1:14" ht="26.25" customHeight="1" x14ac:dyDescent="0.4">
      <c r="A26" s="76" t="s">
        <v>4</v>
      </c>
      <c r="B26" s="292" t="s">
        <v>118</v>
      </c>
      <c r="C26" s="292"/>
    </row>
    <row r="27" spans="1:14" ht="26.25" customHeight="1" x14ac:dyDescent="0.4">
      <c r="A27" s="76" t="s">
        <v>44</v>
      </c>
      <c r="B27" s="291" t="s">
        <v>119</v>
      </c>
      <c r="C27" s="291"/>
    </row>
    <row r="28" spans="1:14" ht="27" customHeight="1" x14ac:dyDescent="0.4">
      <c r="A28" s="76" t="s">
        <v>6</v>
      </c>
      <c r="B28" s="82">
        <v>100.2</v>
      </c>
    </row>
    <row r="29" spans="1:14" s="7" customFormat="1" ht="27" customHeight="1" x14ac:dyDescent="0.4">
      <c r="A29" s="76" t="s">
        <v>45</v>
      </c>
      <c r="B29" s="82">
        <v>0</v>
      </c>
      <c r="C29" s="301" t="s">
        <v>46</v>
      </c>
      <c r="D29" s="302"/>
      <c r="E29" s="302"/>
      <c r="F29" s="302"/>
      <c r="G29" s="303"/>
      <c r="I29" s="51"/>
      <c r="J29" s="51"/>
      <c r="K29" s="51"/>
      <c r="L29" s="51"/>
    </row>
    <row r="30" spans="1:14" s="7" customFormat="1" ht="19.5" customHeight="1" x14ac:dyDescent="0.3">
      <c r="A30" s="76" t="s">
        <v>47</v>
      </c>
      <c r="B30" s="110">
        <f>B28-B29</f>
        <v>100.2</v>
      </c>
      <c r="C30" s="160"/>
      <c r="D30" s="160"/>
      <c r="E30" s="160"/>
      <c r="F30" s="160"/>
      <c r="G30" s="161"/>
      <c r="I30" s="51"/>
      <c r="J30" s="51"/>
      <c r="K30" s="51"/>
      <c r="L30" s="51"/>
    </row>
    <row r="31" spans="1:14" s="7" customFormat="1" ht="27" customHeight="1" x14ac:dyDescent="0.4">
      <c r="A31" s="76" t="s">
        <v>48</v>
      </c>
      <c r="B31" s="83">
        <v>1</v>
      </c>
      <c r="C31" s="288" t="s">
        <v>49</v>
      </c>
      <c r="D31" s="289"/>
      <c r="E31" s="289"/>
      <c r="F31" s="289"/>
      <c r="G31" s="289"/>
      <c r="H31" s="290"/>
      <c r="I31" s="51"/>
      <c r="J31" s="51"/>
      <c r="K31" s="51"/>
      <c r="L31" s="51"/>
    </row>
    <row r="32" spans="1:14" s="7" customFormat="1" ht="27" customHeight="1" x14ac:dyDescent="0.4">
      <c r="A32" s="76" t="s">
        <v>50</v>
      </c>
      <c r="B32" s="83">
        <v>1</v>
      </c>
      <c r="C32" s="288" t="s">
        <v>51</v>
      </c>
      <c r="D32" s="289"/>
      <c r="E32" s="289"/>
      <c r="F32" s="289"/>
      <c r="G32" s="289"/>
      <c r="H32" s="290"/>
      <c r="I32" s="51"/>
      <c r="J32" s="51"/>
      <c r="K32" s="51"/>
      <c r="L32" s="53"/>
      <c r="M32" s="53"/>
      <c r="N32" s="162"/>
    </row>
    <row r="33" spans="1:14" s="7" customFormat="1" ht="17.25" customHeight="1" x14ac:dyDescent="0.3">
      <c r="A33" s="76"/>
      <c r="B33" s="52"/>
      <c r="C33" s="54"/>
      <c r="D33" s="54"/>
      <c r="E33" s="54"/>
      <c r="F33" s="54"/>
      <c r="G33" s="54"/>
      <c r="H33" s="54"/>
      <c r="I33" s="51"/>
      <c r="J33" s="51"/>
      <c r="K33" s="51"/>
      <c r="L33" s="53"/>
      <c r="M33" s="53"/>
      <c r="N33" s="162"/>
    </row>
    <row r="34" spans="1:14" s="7" customFormat="1" ht="18.75" x14ac:dyDescent="0.3">
      <c r="A34" s="76" t="s">
        <v>52</v>
      </c>
      <c r="B34" s="55">
        <f>B31/B32</f>
        <v>1</v>
      </c>
      <c r="C34" s="49" t="s">
        <v>53</v>
      </c>
      <c r="D34" s="49"/>
      <c r="E34" s="49"/>
      <c r="F34" s="49"/>
      <c r="G34" s="49"/>
      <c r="I34" s="51"/>
      <c r="J34" s="51"/>
      <c r="K34" s="51"/>
      <c r="L34" s="53"/>
      <c r="M34" s="53"/>
      <c r="N34" s="162"/>
    </row>
    <row r="35" spans="1:14" s="7" customFormat="1" ht="19.5" customHeight="1" x14ac:dyDescent="0.3">
      <c r="A35" s="76"/>
      <c r="B35" s="110"/>
      <c r="G35" s="49"/>
      <c r="I35" s="51"/>
      <c r="J35" s="51"/>
      <c r="K35" s="51"/>
      <c r="L35" s="53"/>
      <c r="M35" s="53"/>
      <c r="N35" s="162"/>
    </row>
    <row r="36" spans="1:14" s="7" customFormat="1" ht="27" customHeight="1" x14ac:dyDescent="0.4">
      <c r="A36" s="163" t="s">
        <v>54</v>
      </c>
      <c r="B36" s="84">
        <v>50</v>
      </c>
      <c r="C36" s="49"/>
      <c r="D36" s="293" t="s">
        <v>55</v>
      </c>
      <c r="E36" s="317"/>
      <c r="F36" s="293" t="s">
        <v>56</v>
      </c>
      <c r="G36" s="294"/>
      <c r="J36" s="51"/>
      <c r="K36" s="51"/>
      <c r="L36" s="53"/>
      <c r="M36" s="53"/>
      <c r="N36" s="162"/>
    </row>
    <row r="37" spans="1:14" s="7" customFormat="1" ht="27" customHeight="1" x14ac:dyDescent="0.4">
      <c r="A37" s="164" t="s">
        <v>124</v>
      </c>
      <c r="B37" s="85">
        <v>4</v>
      </c>
      <c r="C37" s="56" t="s">
        <v>57</v>
      </c>
      <c r="D37" s="57" t="s">
        <v>58</v>
      </c>
      <c r="E37" s="73" t="s">
        <v>59</v>
      </c>
      <c r="F37" s="57" t="s">
        <v>58</v>
      </c>
      <c r="G37" s="36" t="s">
        <v>59</v>
      </c>
      <c r="I37" s="37" t="s">
        <v>60</v>
      </c>
      <c r="J37" s="51"/>
      <c r="K37" s="51"/>
      <c r="L37" s="53"/>
      <c r="M37" s="53"/>
      <c r="N37" s="162"/>
    </row>
    <row r="38" spans="1:14" s="7" customFormat="1" ht="26.25" customHeight="1" x14ac:dyDescent="0.4">
      <c r="A38" s="164" t="s">
        <v>125</v>
      </c>
      <c r="B38" s="85">
        <v>20</v>
      </c>
      <c r="C38" s="165">
        <v>1</v>
      </c>
      <c r="D38" s="114">
        <v>7634985</v>
      </c>
      <c r="E38" s="233">
        <f>IF(ISBLANK(D38),"-",$D$48/$D$45*D38)</f>
        <v>7871637.9225021033</v>
      </c>
      <c r="F38" s="116">
        <v>9673668</v>
      </c>
      <c r="G38" s="167">
        <f>IF(ISBLANK(F38),"-",$D$48/$F$45*F38)</f>
        <v>8072206.7570544509</v>
      </c>
      <c r="I38" s="234"/>
      <c r="J38" s="51"/>
      <c r="K38" s="51"/>
      <c r="L38" s="53"/>
      <c r="M38" s="53"/>
      <c r="N38" s="162"/>
    </row>
    <row r="39" spans="1:14" s="7" customFormat="1" ht="26.25" customHeight="1" x14ac:dyDescent="0.4">
      <c r="A39" s="164" t="s">
        <v>126</v>
      </c>
      <c r="B39" s="85">
        <v>1</v>
      </c>
      <c r="C39" s="77">
        <v>2</v>
      </c>
      <c r="D39" s="114">
        <v>7667532</v>
      </c>
      <c r="E39" s="235">
        <f>IF(ISBLANK(D39),"-",$D$48/$D$45*D39)</f>
        <v>7905193.7447419204</v>
      </c>
      <c r="F39" s="116">
        <v>9652197</v>
      </c>
      <c r="G39" s="169">
        <f>IF(ISBLANK(F39),"-",$D$48/$F$45*F39)</f>
        <v>8054290.2489335686</v>
      </c>
      <c r="I39" s="322">
        <f>ABS((F43/D43*D42)-F42)/D42</f>
        <v>2.5616791114759757E-2</v>
      </c>
      <c r="J39" s="51"/>
      <c r="K39" s="51"/>
      <c r="L39" s="53"/>
      <c r="M39" s="53"/>
      <c r="N39" s="162"/>
    </row>
    <row r="40" spans="1:14" ht="26.25" customHeight="1" x14ac:dyDescent="0.4">
      <c r="A40" s="164" t="s">
        <v>127</v>
      </c>
      <c r="B40" s="85">
        <v>1</v>
      </c>
      <c r="C40" s="77">
        <v>3</v>
      </c>
      <c r="D40" s="114">
        <v>7678672</v>
      </c>
      <c r="E40" s="235">
        <f>IF(ISBLANK(D40),"-",$D$48/$D$45*D40)</f>
        <v>7916679.0386169804</v>
      </c>
      <c r="F40" s="116">
        <v>9656953</v>
      </c>
      <c r="G40" s="169">
        <f>IF(ISBLANK(F40),"-",$D$48/$F$45*F40)</f>
        <v>8058258.9002596792</v>
      </c>
      <c r="I40" s="322"/>
      <c r="L40" s="53"/>
      <c r="M40" s="53"/>
      <c r="N40" s="49"/>
    </row>
    <row r="41" spans="1:14" ht="27" customHeight="1" x14ac:dyDescent="0.4">
      <c r="A41" s="164" t="s">
        <v>128</v>
      </c>
      <c r="B41" s="85">
        <v>1</v>
      </c>
      <c r="C41" s="170">
        <v>4</v>
      </c>
      <c r="D41" s="114"/>
      <c r="E41" s="236" t="str">
        <f>IF(ISBLANK(D41),"-",$D$48/$D$45*D41)</f>
        <v>-</v>
      </c>
      <c r="F41" s="116"/>
      <c r="G41" s="172" t="str">
        <f>IF(ISBLANK(F41),"-",$D$48/$F$45*F41)</f>
        <v>-</v>
      </c>
      <c r="I41" s="237"/>
      <c r="L41" s="53"/>
      <c r="M41" s="53"/>
      <c r="N41" s="49"/>
    </row>
    <row r="42" spans="1:14" ht="27" customHeight="1" x14ac:dyDescent="0.4">
      <c r="A42" s="164" t="s">
        <v>129</v>
      </c>
      <c r="B42" s="85">
        <v>1</v>
      </c>
      <c r="C42" s="173" t="s">
        <v>61</v>
      </c>
      <c r="D42" s="59">
        <f>AVERAGE(D38:D41)</f>
        <v>7660396.333333333</v>
      </c>
      <c r="E42" s="64">
        <f>AVERAGE(E38:E41)</f>
        <v>7897836.9019536683</v>
      </c>
      <c r="F42" s="59">
        <f>AVERAGE(F38:F41)</f>
        <v>9660939.333333334</v>
      </c>
      <c r="G42" s="60">
        <f>AVERAGE(G38:G41)</f>
        <v>8061585.3020825656</v>
      </c>
      <c r="H42" s="136"/>
    </row>
    <row r="43" spans="1:14" ht="26.25" customHeight="1" x14ac:dyDescent="0.4">
      <c r="A43" s="164" t="s">
        <v>130</v>
      </c>
      <c r="B43" s="85">
        <v>1</v>
      </c>
      <c r="C43" s="238" t="s">
        <v>62</v>
      </c>
      <c r="D43" s="90">
        <v>14.52</v>
      </c>
      <c r="E43" s="49"/>
      <c r="F43" s="90">
        <v>17.940000000000001</v>
      </c>
      <c r="H43" s="136"/>
    </row>
    <row r="44" spans="1:14" ht="26.25" customHeight="1" x14ac:dyDescent="0.4">
      <c r="A44" s="164" t="s">
        <v>131</v>
      </c>
      <c r="B44" s="85">
        <v>1</v>
      </c>
      <c r="C44" s="239" t="s">
        <v>63</v>
      </c>
      <c r="D44" s="177">
        <f>D43*$B$34</f>
        <v>14.52</v>
      </c>
      <c r="E44" s="110"/>
      <c r="F44" s="177">
        <f>F43*$B$34</f>
        <v>17.940000000000001</v>
      </c>
      <c r="H44" s="136"/>
    </row>
    <row r="45" spans="1:14" ht="19.5" customHeight="1" x14ac:dyDescent="0.3">
      <c r="A45" s="164" t="s">
        <v>64</v>
      </c>
      <c r="B45" s="77">
        <f>(B44/B43)*(B42/B41)*(B40/B39)*(B38/B37)*B36</f>
        <v>250</v>
      </c>
      <c r="C45" s="239" t="s">
        <v>65</v>
      </c>
      <c r="D45" s="179">
        <f>D44*$B$30/100</f>
        <v>14.54904</v>
      </c>
      <c r="E45" s="52"/>
      <c r="F45" s="179">
        <f>F44*$B$30/100</f>
        <v>17.975880000000004</v>
      </c>
      <c r="H45" s="136"/>
    </row>
    <row r="46" spans="1:14" ht="19.5" customHeight="1" x14ac:dyDescent="0.3">
      <c r="A46" s="295" t="s">
        <v>66</v>
      </c>
      <c r="B46" s="299"/>
      <c r="C46" s="239" t="s">
        <v>67</v>
      </c>
      <c r="D46" s="240">
        <f>D45/$B$45</f>
        <v>5.8196159999999997E-2</v>
      </c>
      <c r="E46" s="241"/>
      <c r="F46" s="242">
        <f>F45/$B$45</f>
        <v>7.1903520000000012E-2</v>
      </c>
      <c r="H46" s="136"/>
    </row>
    <row r="47" spans="1:14" ht="27" customHeight="1" x14ac:dyDescent="0.4">
      <c r="A47" s="297"/>
      <c r="B47" s="300"/>
      <c r="C47" s="243" t="s">
        <v>68</v>
      </c>
      <c r="D47" s="38">
        <v>0.06</v>
      </c>
      <c r="E47" s="244"/>
      <c r="F47" s="241"/>
      <c r="H47" s="136"/>
    </row>
    <row r="48" spans="1:14" ht="18.75" x14ac:dyDescent="0.3">
      <c r="C48" s="245" t="s">
        <v>69</v>
      </c>
      <c r="D48" s="179">
        <f>D47*$B$45</f>
        <v>15</v>
      </c>
      <c r="F48" s="181"/>
      <c r="H48" s="136"/>
    </row>
    <row r="49" spans="1:12" ht="19.5" customHeight="1" x14ac:dyDescent="0.3">
      <c r="C49" s="246" t="s">
        <v>70</v>
      </c>
      <c r="D49" s="247">
        <f>D48/B34</f>
        <v>15</v>
      </c>
      <c r="F49" s="181"/>
      <c r="H49" s="136"/>
    </row>
    <row r="50" spans="1:12" ht="18.75" x14ac:dyDescent="0.3">
      <c r="C50" s="163" t="s">
        <v>71</v>
      </c>
      <c r="D50" s="39">
        <f>AVERAGE(E38:E41,G38:G41)</f>
        <v>7979711.1020181179</v>
      </c>
      <c r="F50" s="71"/>
      <c r="H50" s="136"/>
    </row>
    <row r="51" spans="1:12" ht="18.75" x14ac:dyDescent="0.3">
      <c r="C51" s="164" t="s">
        <v>72</v>
      </c>
      <c r="D51" s="66">
        <f>STDEV(E38:E41,G38:G41)/D50</f>
        <v>1.1416025811954087E-2</v>
      </c>
      <c r="F51" s="71"/>
      <c r="H51" s="136"/>
    </row>
    <row r="52" spans="1:12" ht="19.5" customHeight="1" x14ac:dyDescent="0.3">
      <c r="C52" s="198" t="s">
        <v>19</v>
      </c>
      <c r="D52" s="248">
        <f>COUNT(E38:E41,G38:G41)</f>
        <v>6</v>
      </c>
      <c r="F52" s="71"/>
    </row>
    <row r="54" spans="1:12" ht="18.75" x14ac:dyDescent="0.3">
      <c r="A54" s="48" t="s">
        <v>1</v>
      </c>
      <c r="B54" s="61" t="s">
        <v>73</v>
      </c>
    </row>
    <row r="55" spans="1:12" ht="18.75" x14ac:dyDescent="0.3">
      <c r="A55" s="49" t="s">
        <v>74</v>
      </c>
      <c r="B55" s="61" t="str">
        <f>B21</f>
        <v>Each tablet contains:
Artemether 20 mg
Lumefantrine 120 mg</v>
      </c>
    </row>
    <row r="56" spans="1:12" ht="26.25" customHeight="1" x14ac:dyDescent="0.4">
      <c r="A56" s="61" t="s">
        <v>75</v>
      </c>
      <c r="B56" s="40">
        <v>120</v>
      </c>
      <c r="C56" s="49" t="str">
        <f>B20</f>
        <v>Artemether &amp; Lumefantrine</v>
      </c>
      <c r="H56" s="110"/>
    </row>
    <row r="57" spans="1:12" ht="18.75" x14ac:dyDescent="0.3">
      <c r="A57" s="61" t="s">
        <v>76</v>
      </c>
      <c r="B57" s="105">
        <f>Uniformity!C46</f>
        <v>599.72500000000014</v>
      </c>
      <c r="H57" s="110"/>
    </row>
    <row r="58" spans="1:12" ht="19.5" customHeight="1" x14ac:dyDescent="0.3">
      <c r="H58" s="110"/>
    </row>
    <row r="59" spans="1:12" s="7" customFormat="1" ht="27" customHeight="1" x14ac:dyDescent="0.4">
      <c r="A59" s="163" t="s">
        <v>77</v>
      </c>
      <c r="B59" s="84">
        <v>100</v>
      </c>
      <c r="C59" s="49"/>
      <c r="D59" s="63" t="s">
        <v>78</v>
      </c>
      <c r="E59" s="62" t="s">
        <v>57</v>
      </c>
      <c r="F59" s="62" t="s">
        <v>58</v>
      </c>
      <c r="G59" s="62" t="s">
        <v>79</v>
      </c>
      <c r="H59" s="56" t="s">
        <v>80</v>
      </c>
      <c r="L59" s="51"/>
    </row>
    <row r="60" spans="1:12" s="7" customFormat="1" ht="26.25" customHeight="1" x14ac:dyDescent="0.4">
      <c r="A60" s="164" t="s">
        <v>140</v>
      </c>
      <c r="B60" s="85">
        <v>4</v>
      </c>
      <c r="C60" s="310" t="s">
        <v>81</v>
      </c>
      <c r="D60" s="314">
        <v>154.09</v>
      </c>
      <c r="E60" s="62">
        <v>1</v>
      </c>
      <c r="F60" s="92">
        <v>8744008</v>
      </c>
      <c r="G60" s="249">
        <f>IF(ISBLANK(F60),"-",(F60/$D$50*$D$47*$B$68)*($B$57/$D$60))</f>
        <v>127.94470890524484</v>
      </c>
      <c r="H60" s="188">
        <f t="shared" ref="H60:H71" si="0">IF(ISBLANK(F60),"-",G60/$B$56)</f>
        <v>1.0662059075437069</v>
      </c>
      <c r="L60" s="51"/>
    </row>
    <row r="61" spans="1:12" s="7" customFormat="1" ht="26.25" customHeight="1" x14ac:dyDescent="0.4">
      <c r="A61" s="164" t="s">
        <v>133</v>
      </c>
      <c r="B61" s="85">
        <v>20</v>
      </c>
      <c r="C61" s="311"/>
      <c r="D61" s="315"/>
      <c r="E61" s="189">
        <v>2</v>
      </c>
      <c r="F61" s="87">
        <v>8748758</v>
      </c>
      <c r="G61" s="250">
        <f>IF(ISBLANK(F61),"-",(F61/$D$50*$D$47*$B$68)*($B$57/$D$60))</f>
        <v>128.01421220022124</v>
      </c>
      <c r="H61" s="191">
        <f t="shared" si="0"/>
        <v>1.0667851016685104</v>
      </c>
      <c r="L61" s="51"/>
    </row>
    <row r="62" spans="1:12" s="7" customFormat="1" ht="26.25" customHeight="1" x14ac:dyDescent="0.4">
      <c r="A62" s="164" t="s">
        <v>134</v>
      </c>
      <c r="B62" s="85">
        <v>1</v>
      </c>
      <c r="C62" s="311"/>
      <c r="D62" s="315"/>
      <c r="E62" s="189">
        <v>3</v>
      </c>
      <c r="F62" s="41">
        <v>8737004</v>
      </c>
      <c r="G62" s="250">
        <f>IF(ISBLANK(F62),"-",(F62/$D$50*$D$47*$B$68)*($B$57/$D$60))</f>
        <v>127.84222446776809</v>
      </c>
      <c r="H62" s="191">
        <f t="shared" si="0"/>
        <v>1.065351870564734</v>
      </c>
      <c r="L62" s="51"/>
    </row>
    <row r="63" spans="1:12" ht="27" customHeight="1" x14ac:dyDescent="0.4">
      <c r="A63" s="164" t="s">
        <v>135</v>
      </c>
      <c r="B63" s="85">
        <v>1</v>
      </c>
      <c r="C63" s="312"/>
      <c r="D63" s="316"/>
      <c r="E63" s="192">
        <v>4</v>
      </c>
      <c r="F63" s="93"/>
      <c r="G63" s="250" t="str">
        <f>IF(ISBLANK(F63),"-",(F63/$D$50*$D$47*$B$68)*($B$57/$D$60))</f>
        <v>-</v>
      </c>
      <c r="H63" s="191" t="str">
        <f t="shared" si="0"/>
        <v>-</v>
      </c>
    </row>
    <row r="64" spans="1:12" ht="26.25" customHeight="1" x14ac:dyDescent="0.4">
      <c r="A64" s="164" t="s">
        <v>136</v>
      </c>
      <c r="B64" s="85">
        <v>1</v>
      </c>
      <c r="C64" s="310" t="s">
        <v>82</v>
      </c>
      <c r="D64" s="314">
        <v>157.29</v>
      </c>
      <c r="E64" s="62">
        <v>1</v>
      </c>
      <c r="F64" s="92">
        <v>8660896</v>
      </c>
      <c r="G64" s="251">
        <f>IF(ISBLANK(F64),"-",(F64/$D$50*$D$47*$B$68)*($B$57/$D$64))</f>
        <v>124.15035068019439</v>
      </c>
      <c r="H64" s="193">
        <f t="shared" si="0"/>
        <v>1.0345862556682865</v>
      </c>
    </row>
    <row r="65" spans="1:8" ht="26.25" customHeight="1" x14ac:dyDescent="0.4">
      <c r="A65" s="164" t="s">
        <v>137</v>
      </c>
      <c r="B65" s="85">
        <v>1</v>
      </c>
      <c r="C65" s="311"/>
      <c r="D65" s="315"/>
      <c r="E65" s="189">
        <v>2</v>
      </c>
      <c r="F65" s="87">
        <v>8660820</v>
      </c>
      <c r="G65" s="252">
        <f>IF(ISBLANK(F65),"-",(F65/$D$50*$D$47*$B$68)*($B$57/$D$64))</f>
        <v>124.14926125172747</v>
      </c>
      <c r="H65" s="195">
        <f t="shared" si="0"/>
        <v>1.0345771770977288</v>
      </c>
    </row>
    <row r="66" spans="1:8" ht="26.25" customHeight="1" x14ac:dyDescent="0.4">
      <c r="A66" s="164" t="s">
        <v>138</v>
      </c>
      <c r="B66" s="85">
        <v>1</v>
      </c>
      <c r="C66" s="311"/>
      <c r="D66" s="315"/>
      <c r="E66" s="189">
        <v>3</v>
      </c>
      <c r="F66" s="87">
        <v>8642524</v>
      </c>
      <c r="G66" s="252">
        <f>IF(ISBLANK(F66),"-",(F66/$D$50*$D$47*$B$68)*($B$57/$D$64))</f>
        <v>123.88699568289428</v>
      </c>
      <c r="H66" s="195">
        <f t="shared" si="0"/>
        <v>1.0323916306907857</v>
      </c>
    </row>
    <row r="67" spans="1:8" ht="27" customHeight="1" x14ac:dyDescent="0.4">
      <c r="A67" s="164" t="s">
        <v>139</v>
      </c>
      <c r="B67" s="85">
        <v>1</v>
      </c>
      <c r="C67" s="312"/>
      <c r="D67" s="316"/>
      <c r="E67" s="192">
        <v>4</v>
      </c>
      <c r="F67" s="93"/>
      <c r="G67" s="253" t="str">
        <f>IF(ISBLANK(F67),"-",(F67/$D$50*$D$47*$B$68)*($B$57/$D$64))</f>
        <v>-</v>
      </c>
      <c r="H67" s="197" t="str">
        <f t="shared" si="0"/>
        <v>-</v>
      </c>
    </row>
    <row r="68" spans="1:8" ht="26.25" customHeight="1" x14ac:dyDescent="0.4">
      <c r="A68" s="164" t="s">
        <v>83</v>
      </c>
      <c r="B68" s="254">
        <f>(B67/B66)*(B65/B64)*(B63/B62)*(B61/B60)*B59</f>
        <v>500</v>
      </c>
      <c r="C68" s="310" t="s">
        <v>84</v>
      </c>
      <c r="D68" s="314">
        <v>150.08000000000001</v>
      </c>
      <c r="E68" s="62">
        <v>1</v>
      </c>
      <c r="F68" s="92">
        <v>8236225</v>
      </c>
      <c r="G68" s="251">
        <f>IF(ISBLANK(F68),"-",(F68/$D$50*$D$47*$B$68)*($B$57/$D$68))</f>
        <v>123.73473162736393</v>
      </c>
      <c r="H68" s="191">
        <f t="shared" si="0"/>
        <v>1.031122763561366</v>
      </c>
    </row>
    <row r="69" spans="1:8" ht="27" customHeight="1" x14ac:dyDescent="0.4">
      <c r="A69" s="198" t="s">
        <v>85</v>
      </c>
      <c r="B69" s="199">
        <f>(D47*B68)/B56*B57</f>
        <v>149.93125000000003</v>
      </c>
      <c r="C69" s="311"/>
      <c r="D69" s="315"/>
      <c r="E69" s="189">
        <v>2</v>
      </c>
      <c r="F69" s="87">
        <v>8234210</v>
      </c>
      <c r="G69" s="252">
        <f>IF(ISBLANK(F69),"-",(F69/$D$50*$D$47*$B$68)*($B$57/$D$68))</f>
        <v>123.70445981178953</v>
      </c>
      <c r="H69" s="191">
        <f t="shared" si="0"/>
        <v>1.0308704984315795</v>
      </c>
    </row>
    <row r="70" spans="1:8" ht="26.25" customHeight="1" x14ac:dyDescent="0.4">
      <c r="A70" s="304" t="s">
        <v>66</v>
      </c>
      <c r="B70" s="305"/>
      <c r="C70" s="311"/>
      <c r="D70" s="315"/>
      <c r="E70" s="189">
        <v>3</v>
      </c>
      <c r="F70" s="87">
        <v>8212945</v>
      </c>
      <c r="G70" s="252">
        <f>IF(ISBLANK(F70),"-",(F70/$D$50*$D$47*$B$68)*($B$57/$D$68))</f>
        <v>123.38499075065342</v>
      </c>
      <c r="H70" s="191">
        <f t="shared" si="0"/>
        <v>1.0282082562554451</v>
      </c>
    </row>
    <row r="71" spans="1:8" ht="27" customHeight="1" x14ac:dyDescent="0.4">
      <c r="A71" s="306"/>
      <c r="B71" s="307"/>
      <c r="C71" s="313"/>
      <c r="D71" s="316"/>
      <c r="E71" s="192">
        <v>4</v>
      </c>
      <c r="F71" s="93"/>
      <c r="G71" s="253" t="str">
        <f>IF(ISBLANK(F71),"-",(F71/$D$50*$D$47*$B$68)*($B$57/$D$68))</f>
        <v>-</v>
      </c>
      <c r="H71" s="200" t="str">
        <f t="shared" si="0"/>
        <v>-</v>
      </c>
    </row>
    <row r="72" spans="1:8" ht="26.25" customHeight="1" x14ac:dyDescent="0.4">
      <c r="A72" s="110"/>
      <c r="B72" s="110"/>
      <c r="C72" s="110"/>
      <c r="D72" s="110"/>
      <c r="E72" s="110"/>
      <c r="F72" s="201" t="s">
        <v>61</v>
      </c>
      <c r="G72" s="46">
        <f>AVERAGE(G60:G71)</f>
        <v>125.20132615309525</v>
      </c>
      <c r="H72" s="94">
        <f>AVERAGE(H60:H71)</f>
        <v>1.043344384609127</v>
      </c>
    </row>
    <row r="73" spans="1:8" ht="26.25" customHeight="1" x14ac:dyDescent="0.4">
      <c r="C73" s="110"/>
      <c r="D73" s="110"/>
      <c r="E73" s="110"/>
      <c r="F73" s="185" t="s">
        <v>72</v>
      </c>
      <c r="G73" s="95">
        <f>STDEV(G60:G71)/G72</f>
        <v>1.647613177425987E-2</v>
      </c>
      <c r="H73" s="95">
        <f>STDEV(H60:H71)/H72</f>
        <v>1.647613177425987E-2</v>
      </c>
    </row>
    <row r="74" spans="1:8" ht="27" customHeight="1" x14ac:dyDescent="0.4">
      <c r="A74" s="110"/>
      <c r="B74" s="110"/>
      <c r="C74" s="110"/>
      <c r="D74" s="110"/>
      <c r="E74" s="52"/>
      <c r="F74" s="186" t="s">
        <v>19</v>
      </c>
      <c r="G74" s="96">
        <f>COUNT(G60:G71)</f>
        <v>9</v>
      </c>
      <c r="H74" s="96">
        <f>COUNT(H60:H71)</f>
        <v>9</v>
      </c>
    </row>
    <row r="76" spans="1:8" ht="26.25" customHeight="1" x14ac:dyDescent="0.4">
      <c r="A76" s="76" t="s">
        <v>86</v>
      </c>
      <c r="B76" s="76" t="s">
        <v>87</v>
      </c>
      <c r="C76" s="308" t="str">
        <f>B20</f>
        <v>Artemether &amp; Lumefantrine</v>
      </c>
      <c r="D76" s="308"/>
      <c r="E76" s="49" t="s">
        <v>88</v>
      </c>
      <c r="F76" s="49"/>
      <c r="G76" s="104">
        <f>H72</f>
        <v>1.043344384609127</v>
      </c>
      <c r="H76" s="110"/>
    </row>
    <row r="77" spans="1:8" ht="18.75" x14ac:dyDescent="0.3">
      <c r="A77" s="50" t="s">
        <v>89</v>
      </c>
      <c r="B77" s="50" t="s">
        <v>90</v>
      </c>
    </row>
    <row r="78" spans="1:8" ht="18.75" x14ac:dyDescent="0.3">
      <c r="A78" s="50"/>
      <c r="B78" s="50"/>
    </row>
    <row r="79" spans="1:8" ht="26.25" customHeight="1" x14ac:dyDescent="0.4">
      <c r="A79" s="76" t="s">
        <v>4</v>
      </c>
      <c r="B79" s="291" t="str">
        <f>B26</f>
        <v xml:space="preserve">Lumefantrine </v>
      </c>
      <c r="C79" s="291"/>
    </row>
    <row r="80" spans="1:8" ht="26.25" customHeight="1" x14ac:dyDescent="0.4">
      <c r="A80" s="76" t="s">
        <v>44</v>
      </c>
      <c r="B80" s="291" t="str">
        <f>B27</f>
        <v>WS/14/046</v>
      </c>
      <c r="C80" s="291"/>
    </row>
    <row r="81" spans="1:12" ht="27" customHeight="1" x14ac:dyDescent="0.4">
      <c r="A81" s="76" t="s">
        <v>6</v>
      </c>
      <c r="B81" s="82">
        <f>B28</f>
        <v>100.2</v>
      </c>
    </row>
    <row r="82" spans="1:12" s="7" customFormat="1" ht="27" customHeight="1" x14ac:dyDescent="0.4">
      <c r="A82" s="76" t="s">
        <v>45</v>
      </c>
      <c r="B82" s="82">
        <v>0</v>
      </c>
      <c r="C82" s="301" t="s">
        <v>46</v>
      </c>
      <c r="D82" s="302"/>
      <c r="E82" s="302"/>
      <c r="F82" s="302"/>
      <c r="G82" s="303"/>
      <c r="I82" s="51"/>
      <c r="J82" s="51"/>
      <c r="K82" s="51"/>
      <c r="L82" s="51"/>
    </row>
    <row r="83" spans="1:12" s="7" customFormat="1" ht="19.5" customHeight="1" x14ac:dyDescent="0.3">
      <c r="A83" s="76" t="s">
        <v>47</v>
      </c>
      <c r="B83" s="110">
        <f>B81-B82</f>
        <v>100.2</v>
      </c>
      <c r="C83" s="160"/>
      <c r="D83" s="160"/>
      <c r="E83" s="160"/>
      <c r="F83" s="160"/>
      <c r="G83" s="161"/>
      <c r="I83" s="51"/>
      <c r="J83" s="51"/>
      <c r="K83" s="51"/>
      <c r="L83" s="51"/>
    </row>
    <row r="84" spans="1:12" s="7" customFormat="1" ht="27" customHeight="1" x14ac:dyDescent="0.4">
      <c r="A84" s="76" t="s">
        <v>48</v>
      </c>
      <c r="B84" s="83">
        <v>1</v>
      </c>
      <c r="C84" s="288" t="s">
        <v>91</v>
      </c>
      <c r="D84" s="289"/>
      <c r="E84" s="289"/>
      <c r="F84" s="289"/>
      <c r="G84" s="289"/>
      <c r="H84" s="290"/>
      <c r="I84" s="51"/>
      <c r="J84" s="51"/>
      <c r="K84" s="51"/>
      <c r="L84" s="51"/>
    </row>
    <row r="85" spans="1:12" s="7" customFormat="1" ht="27" customHeight="1" x14ac:dyDescent="0.4">
      <c r="A85" s="76" t="s">
        <v>50</v>
      </c>
      <c r="B85" s="83">
        <v>1</v>
      </c>
      <c r="C85" s="288" t="s">
        <v>92</v>
      </c>
      <c r="D85" s="289"/>
      <c r="E85" s="289"/>
      <c r="F85" s="289"/>
      <c r="G85" s="289"/>
      <c r="H85" s="290"/>
      <c r="I85" s="51"/>
      <c r="J85" s="51"/>
      <c r="K85" s="51"/>
      <c r="L85" s="51"/>
    </row>
    <row r="86" spans="1:12" s="7" customFormat="1" ht="18.75" x14ac:dyDescent="0.3">
      <c r="A86" s="76"/>
      <c r="B86" s="52" t="s">
        <v>120</v>
      </c>
      <c r="C86" s="54"/>
      <c r="D86" s="54"/>
      <c r="E86" s="54"/>
      <c r="F86" s="54"/>
      <c r="G86" s="54"/>
      <c r="H86" s="54"/>
      <c r="I86" s="51"/>
      <c r="J86" s="51"/>
      <c r="K86" s="51"/>
      <c r="L86" s="51"/>
    </row>
    <row r="87" spans="1:12" s="7" customFormat="1" ht="18.75" x14ac:dyDescent="0.3">
      <c r="A87" s="76" t="s">
        <v>52</v>
      </c>
      <c r="B87" s="55">
        <f>B84/B85</f>
        <v>1</v>
      </c>
      <c r="C87" s="49" t="s">
        <v>53</v>
      </c>
      <c r="D87" s="49"/>
      <c r="E87" s="49"/>
      <c r="F87" s="49"/>
      <c r="G87" s="49"/>
      <c r="I87" s="51"/>
      <c r="J87" s="51"/>
      <c r="K87" s="51"/>
      <c r="L87" s="51"/>
    </row>
    <row r="88" spans="1:12" ht="19.5" customHeight="1" x14ac:dyDescent="0.3">
      <c r="A88" s="50"/>
      <c r="B88" s="50"/>
    </row>
    <row r="89" spans="1:12" ht="27" customHeight="1" x14ac:dyDescent="0.4">
      <c r="A89" s="163" t="s">
        <v>54</v>
      </c>
      <c r="B89" s="84">
        <v>50</v>
      </c>
      <c r="D89" s="108" t="s">
        <v>55</v>
      </c>
      <c r="E89" s="112"/>
      <c r="F89" s="293" t="s">
        <v>56</v>
      </c>
      <c r="G89" s="294"/>
    </row>
    <row r="90" spans="1:12" ht="27" customHeight="1" x14ac:dyDescent="0.4">
      <c r="A90" s="164" t="s">
        <v>124</v>
      </c>
      <c r="B90" s="85">
        <v>5</v>
      </c>
      <c r="C90" s="111" t="s">
        <v>57</v>
      </c>
      <c r="D90" s="57" t="s">
        <v>58</v>
      </c>
      <c r="E90" s="73" t="s">
        <v>59</v>
      </c>
      <c r="F90" s="57" t="s">
        <v>58</v>
      </c>
      <c r="G90" s="58" t="s">
        <v>59</v>
      </c>
      <c r="I90" s="37" t="s">
        <v>60</v>
      </c>
    </row>
    <row r="91" spans="1:12" ht="26.25" customHeight="1" x14ac:dyDescent="0.4">
      <c r="A91" s="164" t="s">
        <v>125</v>
      </c>
      <c r="B91" s="85">
        <v>100</v>
      </c>
      <c r="C91" s="202">
        <v>1</v>
      </c>
      <c r="D91" s="86">
        <v>0.77449999999999997</v>
      </c>
      <c r="E91" s="166">
        <f>IF(ISBLANK(D91),"-",$D$101/$D$98*D91)</f>
        <v>0.68201831630855936</v>
      </c>
      <c r="F91" s="86">
        <v>0.67220000000000002</v>
      </c>
      <c r="G91" s="167">
        <f>IF(ISBLANK(F91),"-",$D$101/$F$98*F91)</f>
        <v>0.69669402000844705</v>
      </c>
      <c r="I91" s="234"/>
    </row>
    <row r="92" spans="1:12" ht="26.25" customHeight="1" x14ac:dyDescent="0.4">
      <c r="A92" s="164" t="s">
        <v>126</v>
      </c>
      <c r="B92" s="85">
        <v>1</v>
      </c>
      <c r="C92" s="110">
        <v>2</v>
      </c>
      <c r="D92" s="87">
        <v>0.78859999999999997</v>
      </c>
      <c r="E92" s="168">
        <f>IF(ISBLANK(D92),"-",$D$101/$D$98*D92)</f>
        <v>0.6944346600915815</v>
      </c>
      <c r="F92" s="87">
        <v>0.6734</v>
      </c>
      <c r="G92" s="169">
        <f>IF(ISBLANK(F92),"-",$D$101/$F$98*F92)</f>
        <v>0.69793774631610861</v>
      </c>
      <c r="I92" s="322">
        <f>ABS((F96/D96*D95)-F95)/D95</f>
        <v>9.3518226586195696E-3</v>
      </c>
    </row>
    <row r="93" spans="1:12" ht="26.25" customHeight="1" x14ac:dyDescent="0.4">
      <c r="A93" s="164" t="s">
        <v>127</v>
      </c>
      <c r="B93" s="85">
        <v>1</v>
      </c>
      <c r="C93" s="110">
        <v>3</v>
      </c>
      <c r="D93" s="87">
        <v>0.78769999999999996</v>
      </c>
      <c r="E93" s="168">
        <f>IF(ISBLANK(D93),"-",$D$101/$D$98*D93)</f>
        <v>0.69364212750968646</v>
      </c>
      <c r="F93" s="87">
        <v>0.67369999999999997</v>
      </c>
      <c r="G93" s="169">
        <f>IF(ISBLANK(F93),"-",$D$101/$F$98*F93)</f>
        <v>0.69824867789302403</v>
      </c>
      <c r="I93" s="322"/>
    </row>
    <row r="94" spans="1:12" ht="27" customHeight="1" x14ac:dyDescent="0.4">
      <c r="A94" s="164" t="s">
        <v>128</v>
      </c>
      <c r="B94" s="85">
        <v>1</v>
      </c>
      <c r="C94" s="203">
        <v>4</v>
      </c>
      <c r="D94" s="88"/>
      <c r="E94" s="171" t="str">
        <f>IF(ISBLANK(D94),"-",$D$101/$D$98*D94)</f>
        <v>-</v>
      </c>
      <c r="F94" s="97"/>
      <c r="G94" s="172" t="str">
        <f>IF(ISBLANK(F94),"-",$D$101/$F$98*F94)</f>
        <v>-</v>
      </c>
      <c r="I94" s="237"/>
    </row>
    <row r="95" spans="1:12" ht="27" customHeight="1" x14ac:dyDescent="0.4">
      <c r="A95" s="164" t="s">
        <v>129</v>
      </c>
      <c r="B95" s="85">
        <v>1</v>
      </c>
      <c r="C95" s="76" t="s">
        <v>61</v>
      </c>
      <c r="D95" s="272">
        <f>AVERAGE(D91:D94)</f>
        <v>0.78359999999999996</v>
      </c>
      <c r="E95" s="64">
        <f>AVERAGE(E91:E94)</f>
        <v>0.69003170130327574</v>
      </c>
      <c r="F95" s="273">
        <f>AVERAGE(F91:F94)</f>
        <v>0.67310000000000014</v>
      </c>
      <c r="G95" s="42">
        <f>AVERAGE(G91:G94)</f>
        <v>0.69762681473919319</v>
      </c>
    </row>
    <row r="96" spans="1:12" ht="26.25" customHeight="1" x14ac:dyDescent="0.4">
      <c r="A96" s="164" t="s">
        <v>130</v>
      </c>
      <c r="B96" s="82">
        <v>1</v>
      </c>
      <c r="C96" s="174" t="s">
        <v>93</v>
      </c>
      <c r="D96" s="89">
        <v>27.2</v>
      </c>
      <c r="E96" s="49"/>
      <c r="F96" s="90">
        <v>23.11</v>
      </c>
    </row>
    <row r="97" spans="1:10" ht="26.25" customHeight="1" x14ac:dyDescent="0.4">
      <c r="A97" s="164" t="s">
        <v>131</v>
      </c>
      <c r="B97" s="82">
        <v>1</v>
      </c>
      <c r="C97" s="175" t="s">
        <v>94</v>
      </c>
      <c r="D97" s="176">
        <f>D96*$B$87</f>
        <v>27.2</v>
      </c>
      <c r="E97" s="110"/>
      <c r="F97" s="177">
        <f>F96*$B$87</f>
        <v>23.11</v>
      </c>
    </row>
    <row r="98" spans="1:10" ht="19.5" customHeight="1" x14ac:dyDescent="0.3">
      <c r="A98" s="164" t="s">
        <v>64</v>
      </c>
      <c r="B98" s="110">
        <f>(B97/B96)*(B95/B94)*(B93/B92)*(B91/B90)*B89</f>
        <v>1000</v>
      </c>
      <c r="C98" s="175" t="s">
        <v>95</v>
      </c>
      <c r="D98" s="178">
        <f>D97*$B$83/100</f>
        <v>27.2544</v>
      </c>
      <c r="E98" s="52"/>
      <c r="F98" s="179">
        <f>F97*$B$83/100</f>
        <v>23.156219999999998</v>
      </c>
    </row>
    <row r="99" spans="1:10" ht="19.5" customHeight="1" x14ac:dyDescent="0.3">
      <c r="A99" s="295" t="s">
        <v>66</v>
      </c>
      <c r="B99" s="296"/>
      <c r="C99" s="175" t="s">
        <v>96</v>
      </c>
      <c r="D99" s="255">
        <f>D98/$B$98</f>
        <v>2.7254400000000002E-2</v>
      </c>
      <c r="E99" s="52"/>
      <c r="F99" s="242">
        <f>F98/$B$98</f>
        <v>2.3156219999999998E-2</v>
      </c>
      <c r="H99" s="136"/>
    </row>
    <row r="100" spans="1:10" ht="19.5" customHeight="1" x14ac:dyDescent="0.3">
      <c r="A100" s="297"/>
      <c r="B100" s="298"/>
      <c r="C100" s="175" t="s">
        <v>68</v>
      </c>
      <c r="D100" s="256">
        <f>$B$56/$B$116</f>
        <v>2.4E-2</v>
      </c>
      <c r="F100" s="181"/>
      <c r="G100" s="204"/>
      <c r="H100" s="136"/>
    </row>
    <row r="101" spans="1:10" ht="18.75" x14ac:dyDescent="0.3">
      <c r="C101" s="175" t="s">
        <v>69</v>
      </c>
      <c r="D101" s="176">
        <f>D100*$B$98</f>
        <v>24</v>
      </c>
      <c r="F101" s="181"/>
      <c r="H101" s="136"/>
    </row>
    <row r="102" spans="1:10" ht="19.5" customHeight="1" x14ac:dyDescent="0.3">
      <c r="C102" s="182" t="s">
        <v>70</v>
      </c>
      <c r="D102" s="183">
        <f>D101/B34</f>
        <v>24</v>
      </c>
      <c r="F102" s="71"/>
      <c r="H102" s="136"/>
      <c r="J102" s="65"/>
    </row>
    <row r="103" spans="1:10" ht="18.75" x14ac:dyDescent="0.3">
      <c r="C103" s="184" t="s">
        <v>97</v>
      </c>
      <c r="D103" s="78">
        <f>AVERAGE(E91:E94,G91:G94)</f>
        <v>0.69382925802123452</v>
      </c>
      <c r="F103" s="71"/>
      <c r="G103" s="204"/>
      <c r="H103" s="136"/>
      <c r="J103" s="205"/>
    </row>
    <row r="104" spans="1:10" ht="18.75" x14ac:dyDescent="0.3">
      <c r="C104" s="185" t="s">
        <v>72</v>
      </c>
      <c r="D104" s="66">
        <f>STDEV(E91:E94,G91:G94)/D103</f>
        <v>8.7555087101878967E-3</v>
      </c>
      <c r="F104" s="71"/>
      <c r="H104" s="136"/>
      <c r="J104" s="205"/>
    </row>
    <row r="105" spans="1:10" ht="19.5" customHeight="1" x14ac:dyDescent="0.3">
      <c r="C105" s="186" t="s">
        <v>19</v>
      </c>
      <c r="D105" s="67">
        <f>COUNT(E91:E94,G91:G94)</f>
        <v>6</v>
      </c>
      <c r="F105" s="71"/>
      <c r="H105" s="136"/>
      <c r="J105" s="205"/>
    </row>
    <row r="106" spans="1:10" ht="19.5" customHeight="1" x14ac:dyDescent="0.3">
      <c r="A106" s="48"/>
      <c r="B106" s="48"/>
      <c r="C106" s="48"/>
      <c r="D106" s="48"/>
      <c r="E106" s="48"/>
    </row>
    <row r="107" spans="1:10" ht="26.25" customHeight="1" x14ac:dyDescent="0.4">
      <c r="A107" s="163" t="s">
        <v>98</v>
      </c>
      <c r="B107" s="84">
        <v>1000</v>
      </c>
      <c r="C107" s="108" t="s">
        <v>99</v>
      </c>
      <c r="D107" s="68" t="s">
        <v>58</v>
      </c>
      <c r="E107" s="43" t="s">
        <v>100</v>
      </c>
      <c r="F107" s="70" t="s">
        <v>101</v>
      </c>
    </row>
    <row r="108" spans="1:10" ht="26.25" customHeight="1" x14ac:dyDescent="0.4">
      <c r="A108" s="164" t="s">
        <v>132</v>
      </c>
      <c r="B108" s="85">
        <v>10</v>
      </c>
      <c r="C108" s="206">
        <v>1</v>
      </c>
      <c r="D108" s="117">
        <v>0.72909999999999997</v>
      </c>
      <c r="E108" s="257">
        <f t="shared" ref="E108:E113" si="1">IF(ISBLANK(D108),"-",D108/$D$103*$D$100*$B$116)</f>
        <v>126.10018817817325</v>
      </c>
      <c r="F108" s="208">
        <f t="shared" ref="F108:F113" si="2">IF(ISBLANK(D108), "-", E108/$B$56)</f>
        <v>1.0508349014847771</v>
      </c>
    </row>
    <row r="109" spans="1:10" ht="26.25" customHeight="1" x14ac:dyDescent="0.4">
      <c r="A109" s="164" t="s">
        <v>133</v>
      </c>
      <c r="B109" s="85">
        <v>50</v>
      </c>
      <c r="C109" s="206">
        <v>2</v>
      </c>
      <c r="D109" s="117">
        <v>0.68930000000000002</v>
      </c>
      <c r="E109" s="258">
        <f t="shared" si="1"/>
        <v>119.21665026911921</v>
      </c>
      <c r="F109" s="210">
        <f t="shared" si="2"/>
        <v>0.99347208557599342</v>
      </c>
    </row>
    <row r="110" spans="1:10" ht="26.25" customHeight="1" x14ac:dyDescent="0.4">
      <c r="A110" s="164" t="s">
        <v>134</v>
      </c>
      <c r="B110" s="85">
        <v>1</v>
      </c>
      <c r="C110" s="206">
        <v>3</v>
      </c>
      <c r="D110" s="117">
        <v>0.68640000000000001</v>
      </c>
      <c r="E110" s="258">
        <f t="shared" si="1"/>
        <v>118.71508594911278</v>
      </c>
      <c r="F110" s="210">
        <f t="shared" si="2"/>
        <v>0.98929238290927313</v>
      </c>
    </row>
    <row r="111" spans="1:10" ht="26.25" customHeight="1" x14ac:dyDescent="0.4">
      <c r="A111" s="164" t="s">
        <v>135</v>
      </c>
      <c r="B111" s="85">
        <v>1</v>
      </c>
      <c r="C111" s="206">
        <v>4</v>
      </c>
      <c r="D111" s="117">
        <v>0.65249999999999997</v>
      </c>
      <c r="E111" s="258">
        <f t="shared" si="1"/>
        <v>112.85197200145116</v>
      </c>
      <c r="F111" s="210">
        <f t="shared" si="2"/>
        <v>0.94043310001209302</v>
      </c>
    </row>
    <row r="112" spans="1:10" ht="26.25" customHeight="1" x14ac:dyDescent="0.4">
      <c r="A112" s="164" t="s">
        <v>136</v>
      </c>
      <c r="B112" s="85">
        <v>1</v>
      </c>
      <c r="C112" s="206">
        <v>5</v>
      </c>
      <c r="D112" s="117">
        <v>0.68210000000000004</v>
      </c>
      <c r="E112" s="258">
        <f t="shared" si="1"/>
        <v>117.97138712979289</v>
      </c>
      <c r="F112" s="210">
        <f t="shared" si="2"/>
        <v>0.98309489274827411</v>
      </c>
    </row>
    <row r="113" spans="1:10" ht="26.25" customHeight="1" x14ac:dyDescent="0.4">
      <c r="A113" s="164" t="s">
        <v>137</v>
      </c>
      <c r="B113" s="85">
        <v>1</v>
      </c>
      <c r="C113" s="211">
        <v>6</v>
      </c>
      <c r="D113" s="118">
        <v>0.67610000000000003</v>
      </c>
      <c r="E113" s="259">
        <f t="shared" si="1"/>
        <v>116.93366784702091</v>
      </c>
      <c r="F113" s="213">
        <f t="shared" si="2"/>
        <v>0.97444723205850758</v>
      </c>
    </row>
    <row r="114" spans="1:10" ht="26.25" customHeight="1" x14ac:dyDescent="0.4">
      <c r="A114" s="164" t="s">
        <v>138</v>
      </c>
      <c r="B114" s="85">
        <v>1</v>
      </c>
      <c r="C114" s="206"/>
      <c r="D114" s="110"/>
      <c r="E114" s="49"/>
      <c r="F114" s="214"/>
    </row>
    <row r="115" spans="1:10" ht="26.25" customHeight="1" x14ac:dyDescent="0.4">
      <c r="A115" s="164" t="s">
        <v>139</v>
      </c>
      <c r="B115" s="85">
        <v>1</v>
      </c>
      <c r="C115" s="206"/>
      <c r="D115" s="215" t="s">
        <v>61</v>
      </c>
      <c r="E115" s="47">
        <f>AVERAGE(E108:E113)</f>
        <v>118.63149189577837</v>
      </c>
      <c r="F115" s="101">
        <f>AVERAGE(F108:F113)</f>
        <v>0.988595765798153</v>
      </c>
    </row>
    <row r="116" spans="1:10" ht="27" customHeight="1" x14ac:dyDescent="0.4">
      <c r="A116" s="164" t="s">
        <v>83</v>
      </c>
      <c r="B116" s="77">
        <f>(B115/B114)*(B113/B112)*(B111/B110)*(B109/B108)*B107</f>
        <v>5000</v>
      </c>
      <c r="C116" s="216"/>
      <c r="D116" s="76" t="s">
        <v>72</v>
      </c>
      <c r="E116" s="102">
        <f>STDEV(E108:E113)/E115</f>
        <v>3.6325422808209253E-2</v>
      </c>
      <c r="F116" s="102">
        <f>STDEV(F108:F113)/F115</f>
        <v>3.6325422808209239E-2</v>
      </c>
      <c r="I116" s="49"/>
    </row>
    <row r="117" spans="1:10" ht="27" customHeight="1" x14ac:dyDescent="0.4">
      <c r="A117" s="295" t="s">
        <v>66</v>
      </c>
      <c r="B117" s="299"/>
      <c r="C117" s="218"/>
      <c r="D117" s="220" t="s">
        <v>19</v>
      </c>
      <c r="E117" s="103">
        <f>COUNT(E108:E113)</f>
        <v>6</v>
      </c>
      <c r="F117" s="103">
        <f>COUNT(F108:F113)</f>
        <v>6</v>
      </c>
      <c r="I117" s="49"/>
      <c r="J117" s="205"/>
    </row>
    <row r="118" spans="1:10" ht="19.5" customHeight="1" x14ac:dyDescent="0.3">
      <c r="A118" s="297"/>
      <c r="B118" s="300"/>
      <c r="C118" s="49"/>
      <c r="D118" s="49"/>
      <c r="E118" s="49"/>
      <c r="F118" s="110"/>
      <c r="G118" s="49"/>
      <c r="H118" s="49"/>
      <c r="I118" s="49"/>
    </row>
    <row r="119" spans="1:10" ht="18.75" x14ac:dyDescent="0.3">
      <c r="A119" s="44"/>
      <c r="B119" s="54"/>
      <c r="C119" s="49"/>
      <c r="D119" s="49"/>
      <c r="E119" s="49"/>
      <c r="F119" s="110"/>
      <c r="G119" s="49"/>
      <c r="H119" s="49"/>
      <c r="I119" s="49"/>
    </row>
    <row r="120" spans="1:10" ht="26.25" customHeight="1" x14ac:dyDescent="0.4">
      <c r="A120" s="76" t="s">
        <v>86</v>
      </c>
      <c r="B120" s="76" t="s">
        <v>102</v>
      </c>
      <c r="C120" s="308" t="str">
        <f>B20</f>
        <v>Artemether &amp; Lumefantrine</v>
      </c>
      <c r="D120" s="308"/>
      <c r="E120" s="49" t="s">
        <v>103</v>
      </c>
      <c r="F120" s="49"/>
      <c r="G120" s="104">
        <f>F115</f>
        <v>0.988595765798153</v>
      </c>
      <c r="H120" s="49"/>
      <c r="I120" s="49"/>
    </row>
    <row r="121" spans="1:10" ht="19.5" customHeight="1" x14ac:dyDescent="0.3">
      <c r="A121" s="109"/>
      <c r="B121" s="109"/>
      <c r="C121" s="228"/>
      <c r="D121" s="228"/>
      <c r="E121" s="228"/>
      <c r="F121" s="228"/>
      <c r="G121" s="228"/>
      <c r="H121" s="228"/>
    </row>
    <row r="122" spans="1:10" ht="18.75" x14ac:dyDescent="0.3">
      <c r="B122" s="309" t="s">
        <v>22</v>
      </c>
      <c r="C122" s="309"/>
      <c r="E122" s="111" t="s">
        <v>23</v>
      </c>
      <c r="F122" s="111"/>
      <c r="G122" s="309" t="s">
        <v>24</v>
      </c>
      <c r="H122" s="309"/>
    </row>
    <row r="123" spans="1:10" ht="69.95" customHeight="1" x14ac:dyDescent="0.3">
      <c r="A123" s="76" t="s">
        <v>25</v>
      </c>
      <c r="B123" s="230"/>
      <c r="C123" s="230"/>
      <c r="E123" s="230"/>
      <c r="F123" s="49"/>
      <c r="G123" s="230"/>
      <c r="H123" s="230"/>
    </row>
    <row r="124" spans="1:10" ht="69.95" customHeight="1" x14ac:dyDescent="0.3">
      <c r="A124" s="76" t="s">
        <v>26</v>
      </c>
      <c r="B124" s="75"/>
      <c r="C124" s="75"/>
      <c r="E124" s="75"/>
      <c r="F124" s="49"/>
      <c r="G124" s="75"/>
      <c r="H124" s="75"/>
    </row>
    <row r="125" spans="1:10" ht="18.75" x14ac:dyDescent="0.3">
      <c r="A125" s="110"/>
      <c r="B125" s="110"/>
      <c r="C125" s="110"/>
      <c r="D125" s="110"/>
      <c r="E125" s="110"/>
      <c r="F125" s="52"/>
      <c r="G125" s="110"/>
      <c r="H125" s="110"/>
      <c r="I125" s="49"/>
    </row>
    <row r="126" spans="1:10" ht="18.75" x14ac:dyDescent="0.3">
      <c r="A126" s="110"/>
      <c r="B126" s="110"/>
      <c r="C126" s="110"/>
      <c r="D126" s="110"/>
      <c r="E126" s="110"/>
      <c r="F126" s="52"/>
      <c r="G126" s="110"/>
      <c r="H126" s="110"/>
      <c r="I126" s="49"/>
    </row>
    <row r="127" spans="1:10" ht="18.75" x14ac:dyDescent="0.3">
      <c r="A127" s="110"/>
      <c r="B127" s="110"/>
      <c r="C127" s="110"/>
      <c r="D127" s="110"/>
      <c r="E127" s="110"/>
      <c r="F127" s="52"/>
      <c r="G127" s="110"/>
      <c r="H127" s="110"/>
      <c r="I127" s="49"/>
    </row>
    <row r="128" spans="1:10" ht="18.75" x14ac:dyDescent="0.3">
      <c r="A128" s="110"/>
      <c r="B128" s="110"/>
      <c r="C128" s="110"/>
      <c r="D128" s="110"/>
      <c r="E128" s="110"/>
      <c r="F128" s="52"/>
      <c r="G128" s="110"/>
      <c r="H128" s="110"/>
      <c r="I128" s="49"/>
    </row>
    <row r="129" spans="1:9" ht="18.75" x14ac:dyDescent="0.3">
      <c r="A129" s="110"/>
      <c r="B129" s="110"/>
      <c r="C129" s="110"/>
      <c r="D129" s="110"/>
      <c r="E129" s="110"/>
      <c r="F129" s="52"/>
      <c r="G129" s="110"/>
      <c r="H129" s="110"/>
      <c r="I129" s="49"/>
    </row>
    <row r="130" spans="1:9" ht="18.75" x14ac:dyDescent="0.3">
      <c r="A130" s="110"/>
      <c r="B130" s="110"/>
      <c r="C130" s="110"/>
      <c r="D130" s="110"/>
      <c r="E130" s="110"/>
      <c r="F130" s="52"/>
      <c r="G130" s="110"/>
      <c r="H130" s="110"/>
      <c r="I130" s="49"/>
    </row>
    <row r="131" spans="1:9" ht="18.75" x14ac:dyDescent="0.3">
      <c r="A131" s="110"/>
      <c r="B131" s="110"/>
      <c r="C131" s="110"/>
      <c r="D131" s="110"/>
      <c r="E131" s="110"/>
      <c r="F131" s="52"/>
      <c r="G131" s="110"/>
      <c r="H131" s="110"/>
      <c r="I131" s="49"/>
    </row>
    <row r="132" spans="1:9" ht="18.75" x14ac:dyDescent="0.3">
      <c r="A132" s="110"/>
      <c r="B132" s="110"/>
      <c r="C132" s="110"/>
      <c r="D132" s="110"/>
      <c r="E132" s="110"/>
      <c r="F132" s="52"/>
      <c r="G132" s="110"/>
      <c r="H132" s="110"/>
      <c r="I132" s="49"/>
    </row>
    <row r="133" spans="1:9" ht="18.75" x14ac:dyDescent="0.3">
      <c r="A133" s="110"/>
      <c r="B133" s="110"/>
      <c r="C133" s="110"/>
      <c r="D133" s="110"/>
      <c r="E133" s="110"/>
      <c r="F133" s="52"/>
      <c r="G133" s="110"/>
      <c r="H133" s="110"/>
      <c r="I133" s="49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 </vt:lpstr>
      <vt:lpstr>LUMEFANTRINE</vt:lpstr>
      <vt:lpstr>'ARTEMETHER 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2015-12-22T14:01:50Z</cp:lastPrinted>
  <dcterms:created xsi:type="dcterms:W3CDTF">2005-07-05T10:19:27Z</dcterms:created>
  <dcterms:modified xsi:type="dcterms:W3CDTF">2015-12-23T10:20:37Z</dcterms:modified>
  <cp:category/>
</cp:coreProperties>
</file>