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ARTEMETHER " sheetId="5" r:id="rId3"/>
    <sheet name="LUMEFANTRINE" sheetId="4" r:id="rId4"/>
  </sheets>
  <definedNames>
    <definedName name="_xlnm.Print_Area" localSheetId="2">'ARTEMETHER '!$A$1:$I$148</definedName>
    <definedName name="_xlnm.Print_Area" localSheetId="3">LUMEFANTRINE!$A$1:$I$133</definedName>
    <definedName name="_xlnm.Print_Area" localSheetId="1">Uniformity!$A$1:$G$60</definedName>
  </definedNames>
  <calcPr calcId="144525"/>
</workbook>
</file>

<file path=xl/calcChain.xml><?xml version="1.0" encoding="utf-8"?>
<calcChain xmlns="http://schemas.openxmlformats.org/spreadsheetml/2006/main">
  <c r="B56" i="1" l="1"/>
  <c r="B57" i="1" s="1"/>
  <c r="B55" i="1"/>
  <c r="B54" i="1"/>
  <c r="B66" i="1"/>
  <c r="C66" i="1"/>
  <c r="D66" i="1"/>
  <c r="E66" i="1"/>
  <c r="B67" i="1"/>
  <c r="B68" i="1"/>
  <c r="B35" i="1" l="1"/>
  <c r="B34" i="1"/>
  <c r="B33" i="1"/>
  <c r="B32" i="1"/>
  <c r="F42" i="4" l="1"/>
  <c r="D42" i="4"/>
  <c r="G41" i="4"/>
  <c r="E41" i="4"/>
  <c r="F42" i="5"/>
  <c r="D42" i="5"/>
  <c r="G41" i="5"/>
  <c r="E41" i="5"/>
  <c r="B13" i="1"/>
  <c r="B12" i="1"/>
  <c r="B10" i="1"/>
  <c r="B53" i="1" s="1"/>
  <c r="B11" i="1"/>
  <c r="C19" i="2"/>
  <c r="C18" i="2"/>
  <c r="B23" i="4"/>
  <c r="B22" i="4"/>
  <c r="F96" i="5" l="1"/>
  <c r="D96" i="5"/>
  <c r="G95" i="5"/>
  <c r="E95" i="5"/>
  <c r="B117" i="5"/>
  <c r="D101" i="5" s="1"/>
  <c r="B99" i="5"/>
  <c r="B30" i="5"/>
  <c r="C138" i="5"/>
  <c r="B134" i="5"/>
  <c r="C121" i="5"/>
  <c r="F98" i="5"/>
  <c r="B88" i="5"/>
  <c r="D98" i="5" s="1"/>
  <c r="D99" i="5" s="1"/>
  <c r="B83" i="5"/>
  <c r="B82" i="5"/>
  <c r="B84" i="5" s="1"/>
  <c r="B81" i="5"/>
  <c r="B80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D49" i="5" s="1"/>
  <c r="F44" i="5"/>
  <c r="B34" i="5"/>
  <c r="D44" i="5" s="1"/>
  <c r="C122" i="4"/>
  <c r="B118" i="4"/>
  <c r="D102" i="4" s="1"/>
  <c r="B100" i="4"/>
  <c r="F97" i="4"/>
  <c r="D97" i="4"/>
  <c r="G96" i="4"/>
  <c r="E96" i="4"/>
  <c r="B89" i="4"/>
  <c r="F99" i="4" s="1"/>
  <c r="B83" i="4"/>
  <c r="B82" i="4"/>
  <c r="B84" i="4" s="1"/>
  <c r="B81" i="4"/>
  <c r="B80" i="4"/>
  <c r="C76" i="4"/>
  <c r="H71" i="4"/>
  <c r="G71" i="4"/>
  <c r="B68" i="4"/>
  <c r="H67" i="4"/>
  <c r="G67" i="4"/>
  <c r="H63" i="4"/>
  <c r="G63" i="4"/>
  <c r="C56" i="4"/>
  <c r="B55" i="4"/>
  <c r="B45" i="4"/>
  <c r="D48" i="4" s="1"/>
  <c r="D49" i="4" s="1"/>
  <c r="D44" i="4"/>
  <c r="B34" i="4"/>
  <c r="F44" i="4" s="1"/>
  <c r="B30" i="4"/>
  <c r="D50" i="2"/>
  <c r="D49" i="2"/>
  <c r="B49" i="2"/>
  <c r="C46" i="2"/>
  <c r="C49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B46" i="1"/>
  <c r="E44" i="1"/>
  <c r="D44" i="1"/>
  <c r="C44" i="1"/>
  <c r="B44" i="1"/>
  <c r="B45" i="1" s="1"/>
  <c r="B25" i="1"/>
  <c r="E23" i="1"/>
  <c r="D23" i="1"/>
  <c r="C23" i="1"/>
  <c r="B23" i="1"/>
  <c r="B24" i="1" s="1"/>
  <c r="D99" i="4" l="1"/>
  <c r="D103" i="4"/>
  <c r="D104" i="4" s="1"/>
  <c r="F45" i="4"/>
  <c r="D45" i="4"/>
  <c r="F100" i="4"/>
  <c r="F101" i="4" s="1"/>
  <c r="D100" i="5"/>
  <c r="D102" i="5"/>
  <c r="E93" i="5" s="1"/>
  <c r="D45" i="5"/>
  <c r="F99" i="5"/>
  <c r="F45" i="5"/>
  <c r="D27" i="2"/>
  <c r="D31" i="2"/>
  <c r="D35" i="2"/>
  <c r="D39" i="2"/>
  <c r="D43" i="2"/>
  <c r="D100" i="4"/>
  <c r="B57" i="4"/>
  <c r="B69" i="4" s="1"/>
  <c r="B57" i="5"/>
  <c r="C50" i="2"/>
  <c r="F46" i="5"/>
  <c r="E94" i="4" l="1"/>
  <c r="G94" i="4"/>
  <c r="G97" i="4" s="1"/>
  <c r="G93" i="4"/>
  <c r="G95" i="4"/>
  <c r="E40" i="4"/>
  <c r="E38" i="4"/>
  <c r="E42" i="4" s="1"/>
  <c r="E39" i="4"/>
  <c r="F46" i="4"/>
  <c r="G40" i="4"/>
  <c r="G39" i="4"/>
  <c r="G38" i="4"/>
  <c r="E93" i="4"/>
  <c r="D46" i="4"/>
  <c r="D46" i="5"/>
  <c r="B14" i="1" s="1"/>
  <c r="E40" i="5"/>
  <c r="E38" i="5"/>
  <c r="E39" i="5"/>
  <c r="D52" i="5" s="1"/>
  <c r="G39" i="5"/>
  <c r="G40" i="5"/>
  <c r="G38" i="5"/>
  <c r="G42" i="5" s="1"/>
  <c r="E94" i="5"/>
  <c r="E92" i="5"/>
  <c r="F100" i="5"/>
  <c r="G93" i="5"/>
  <c r="G94" i="5"/>
  <c r="D104" i="5" s="1"/>
  <c r="G92" i="5"/>
  <c r="D103" i="5"/>
  <c r="D101" i="4"/>
  <c r="E95" i="4"/>
  <c r="G42" i="4" l="1"/>
  <c r="D107" i="4"/>
  <c r="D50" i="4"/>
  <c r="D105" i="4"/>
  <c r="E97" i="4"/>
  <c r="D52" i="4"/>
  <c r="E42" i="5"/>
  <c r="E96" i="5"/>
  <c r="G96" i="5"/>
  <c r="D106" i="5"/>
  <c r="D50" i="5"/>
  <c r="G68" i="5" s="1"/>
  <c r="H68" i="5" s="1"/>
  <c r="E130" i="5"/>
  <c r="F130" i="5" s="1"/>
  <c r="E128" i="5"/>
  <c r="F128" i="5" s="1"/>
  <c r="E126" i="5"/>
  <c r="F126" i="5" s="1"/>
  <c r="E114" i="5"/>
  <c r="F114" i="5" s="1"/>
  <c r="E112" i="5"/>
  <c r="F112" i="5" s="1"/>
  <c r="E110" i="5"/>
  <c r="F110" i="5" s="1"/>
  <c r="D105" i="5"/>
  <c r="E129" i="5"/>
  <c r="F129" i="5" s="1"/>
  <c r="E127" i="5"/>
  <c r="F127" i="5" s="1"/>
  <c r="E113" i="5"/>
  <c r="F113" i="5" s="1"/>
  <c r="E111" i="5"/>
  <c r="F111" i="5" s="1"/>
  <c r="E131" i="5"/>
  <c r="F131" i="5" s="1"/>
  <c r="E109" i="5"/>
  <c r="F109" i="5" s="1"/>
  <c r="D51" i="5"/>
  <c r="E110" i="4" l="1"/>
  <c r="F110" i="4" s="1"/>
  <c r="E114" i="4"/>
  <c r="F114" i="4" s="1"/>
  <c r="D106" i="4"/>
  <c r="E113" i="4"/>
  <c r="F113" i="4" s="1"/>
  <c r="E112" i="4"/>
  <c r="F112" i="4" s="1"/>
  <c r="E111" i="4"/>
  <c r="F111" i="4" s="1"/>
  <c r="E115" i="4"/>
  <c r="F115" i="4" s="1"/>
  <c r="G62" i="4"/>
  <c r="H62" i="4" s="1"/>
  <c r="G65" i="4"/>
  <c r="H65" i="4" s="1"/>
  <c r="G69" i="4"/>
  <c r="H69" i="4" s="1"/>
  <c r="G60" i="4"/>
  <c r="H60" i="4" s="1"/>
  <c r="G61" i="4"/>
  <c r="H61" i="4" s="1"/>
  <c r="D51" i="4"/>
  <c r="G68" i="4"/>
  <c r="H68" i="4" s="1"/>
  <c r="G64" i="4"/>
  <c r="H64" i="4" s="1"/>
  <c r="G66" i="4"/>
  <c r="H66" i="4" s="1"/>
  <c r="G70" i="4"/>
  <c r="H70" i="4" s="1"/>
  <c r="G64" i="5"/>
  <c r="H64" i="5" s="1"/>
  <c r="G66" i="5"/>
  <c r="H66" i="5" s="1"/>
  <c r="G70" i="5"/>
  <c r="H70" i="5" s="1"/>
  <c r="G65" i="5"/>
  <c r="H65" i="5" s="1"/>
  <c r="G60" i="5"/>
  <c r="H60" i="5" s="1"/>
  <c r="G69" i="5"/>
  <c r="H69" i="5" s="1"/>
  <c r="G61" i="5"/>
  <c r="H61" i="5" s="1"/>
  <c r="G62" i="5"/>
  <c r="H62" i="5" s="1"/>
  <c r="F118" i="5"/>
  <c r="F116" i="5"/>
  <c r="F133" i="5"/>
  <c r="F135" i="5"/>
  <c r="F117" i="4" l="1"/>
  <c r="G122" i="4" s="1"/>
  <c r="F119" i="4"/>
  <c r="H74" i="4"/>
  <c r="H72" i="4"/>
  <c r="H72" i="5"/>
  <c r="G76" i="5" s="1"/>
  <c r="H74" i="5"/>
  <c r="F117" i="5"/>
  <c r="G121" i="5"/>
  <c r="G138" i="5"/>
  <c r="F134" i="5"/>
  <c r="F118" i="4" l="1"/>
  <c r="H73" i="4"/>
  <c r="G76" i="4"/>
  <c r="H73" i="5"/>
</calcChain>
</file>

<file path=xl/sharedStrings.xml><?xml version="1.0" encoding="utf-8"?>
<sst xmlns="http://schemas.openxmlformats.org/spreadsheetml/2006/main" count="431" uniqueCount="144">
  <si>
    <t>HPLC System Suitability Report</t>
  </si>
  <si>
    <t>Analysis Data</t>
  </si>
  <si>
    <t>Assay</t>
  </si>
  <si>
    <t>Sample(s)</t>
  </si>
  <si>
    <t>Reference Substance:</t>
  </si>
  <si>
    <t>MALFAN</t>
  </si>
  <si>
    <t>% age Purity:</t>
  </si>
  <si>
    <t>NDQD201508192</t>
  </si>
  <si>
    <t>Weight (mg):</t>
  </si>
  <si>
    <t>Artemether 80mg, Lumefantrine 480mg</t>
  </si>
  <si>
    <t>Standard Conc (mg/mL):</t>
  </si>
  <si>
    <t>Each uncoated caplet contains:
Artemether 80 mg
Lumefantrine 480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</si>
  <si>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</si>
  <si>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</si>
  <si>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</si>
  <si>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</si>
  <si>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</si>
  <si>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</si>
  <si>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</si>
  <si>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</si>
  <si>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</si>
  <si>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</si>
  <si>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</si>
  <si>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</si>
  <si>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</si>
  <si>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</si>
  <si>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</si>
  <si>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</si>
  <si>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</si>
  <si>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</si>
  <si>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</si>
  <si>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</si>
  <si>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</si>
  <si>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</si>
  <si>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</si>
  <si>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</si>
  <si>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</si>
  <si>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</si>
  <si>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</si>
  <si>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</si>
  <si>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</si>
  <si>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</si>
  <si>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</si>
  <si>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</si>
  <si>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</si>
  <si>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</si>
  <si>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</si>
  <si>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</si>
  <si>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</si>
  <si>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</si>
  <si>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</si>
  <si>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</si>
  <si>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</si>
  <si>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</si>
  <si>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</si>
  <si>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</si>
  <si>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</si>
  <si>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t>Inj</t>
  </si>
  <si>
    <t>Response:</t>
  </si>
  <si>
    <t>Normalised Response:</t>
  </si>
  <si>
    <t>Average:</t>
  </si>
  <si>
    <t>Amt of RS (mg):</t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</si>
  <si>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</si>
  <si>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</si>
  <si>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</si>
  <si>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</si>
  <si>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</si>
  <si>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</si>
  <si>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</si>
  <si>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</si>
  <si>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</si>
  <si>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</si>
  <si>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</si>
  <si>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</si>
  <si>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</si>
  <si>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</si>
  <si>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</si>
  <si>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</si>
  <si>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</si>
  <si>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</si>
  <si>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</si>
  <si>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</si>
  <si>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</si>
  <si>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</si>
  <si>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</si>
  <si>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</si>
  <si>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</si>
  <si>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</si>
  <si>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</si>
  <si>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</si>
  <si>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</si>
  <si>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1hr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</si>
  <si>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</si>
  <si>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</si>
  <si>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</si>
  <si>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</si>
  <si>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</si>
  <si>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</si>
  <si>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F0J018</t>
  </si>
  <si>
    <t xml:space="preserve">in the sample as a percentage of the stated  label claim is </t>
  </si>
  <si>
    <t>Average Normalised Peak Area:</t>
  </si>
  <si>
    <t>ARTEMETHER</t>
  </si>
  <si>
    <t>29th Oct 2015</t>
  </si>
  <si>
    <t>4th Dec 2015</t>
  </si>
  <si>
    <t xml:space="preserve">Lumefantrine </t>
  </si>
  <si>
    <t>WS/14/046</t>
  </si>
  <si>
    <t>The RSD of the peak areas for six replicate injections of  SST Std is less than 2.0%.</t>
  </si>
  <si>
    <t>The number of Theoretical Plates (USP) for all peaks is greater than 2000</t>
  </si>
  <si>
    <t>The Assymetry of all peaks were below 2.0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</si>
  <si>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</si>
  <si>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</si>
  <si>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</si>
  <si>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</si>
  <si>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</si>
  <si>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</si>
  <si>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</si>
  <si>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</si>
  <si>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</si>
  <si>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</si>
  <si>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</si>
  <si>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</si>
  <si>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</si>
  <si>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</si>
  <si>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</si>
  <si>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</si>
  <si>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b/>
        <vertAlign val="superscript"/>
        <sz val="14"/>
        <color theme="1"/>
        <rFont val="Book Antiqua"/>
        <family val="1"/>
      </rPr>
      <t>st</t>
    </r>
    <r>
      <rPr>
        <b/>
        <sz val="14"/>
        <color theme="1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</si>
  <si>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color theme="1"/>
        <rFont val="Book Antiqua"/>
        <family val="1"/>
      </rPr>
      <t>st</t>
    </r>
    <r>
      <rPr>
        <b/>
        <sz val="14"/>
        <color theme="1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</si>
  <si>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color theme="1"/>
        <rFont val="Book Antiqua"/>
        <family val="1"/>
      </rPr>
      <t>nd</t>
    </r>
    <r>
      <rPr>
        <b/>
        <sz val="14"/>
        <color theme="1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</si>
  <si>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color theme="1"/>
        <rFont val="Book Antiqua"/>
        <family val="1"/>
      </rPr>
      <t>nd</t>
    </r>
    <r>
      <rPr>
        <b/>
        <sz val="14"/>
        <color theme="1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</si>
  <si>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color theme="1"/>
        <rFont val="Book Antiqua"/>
        <family val="1"/>
      </rPr>
      <t>rd</t>
    </r>
    <r>
      <rPr>
        <b/>
        <sz val="14"/>
        <color theme="1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</si>
  <si>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color theme="1"/>
        <rFont val="Book Antiqua"/>
        <family val="1"/>
      </rPr>
      <t>rd</t>
    </r>
    <r>
      <rPr>
        <b/>
        <sz val="14"/>
        <color theme="1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</si>
  <si>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color theme="1"/>
        <rFont val="Book Antiqua"/>
        <family val="1"/>
      </rPr>
      <t>th</t>
    </r>
    <r>
      <rPr>
        <b/>
        <sz val="14"/>
        <color theme="1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</si>
  <si>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color theme="1"/>
        <rFont val="Book Antiqua"/>
        <family val="1"/>
      </rPr>
      <t>th</t>
    </r>
    <r>
      <rPr>
        <b/>
        <sz val="14"/>
        <color theme="1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</si>
  <si>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color theme="1"/>
        <rFont val="Book Antiqua"/>
        <family val="1"/>
      </rPr>
      <t>st</t>
    </r>
    <r>
      <rPr>
        <b/>
        <sz val="14"/>
        <color theme="1"/>
        <rFont val="Book Antiqua"/>
        <family val="1"/>
      </rPr>
      <t xml:space="preserve"> Dilution Sample transfer Volume (mL:</t>
    </r>
  </si>
  <si>
    <r>
      <t>1</t>
    </r>
    <r>
      <rPr>
        <b/>
        <vertAlign val="superscript"/>
        <sz val="14"/>
        <color theme="1"/>
        <rFont val="Book Antiqua"/>
        <family val="1"/>
      </rPr>
      <t>st</t>
    </r>
    <r>
      <rPr>
        <b/>
        <sz val="14"/>
        <color theme="1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</si>
  <si>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color theme="1"/>
        <rFont val="Book Antiqua"/>
        <family val="1"/>
      </rPr>
      <t>nd</t>
    </r>
    <r>
      <rPr>
        <b/>
        <sz val="14"/>
        <color theme="1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</si>
  <si>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color theme="1"/>
        <rFont val="Book Antiqua"/>
        <family val="1"/>
      </rPr>
      <t>nd</t>
    </r>
    <r>
      <rPr>
        <b/>
        <sz val="14"/>
        <color theme="1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</si>
  <si>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color theme="1"/>
        <rFont val="Book Antiqua"/>
        <family val="1"/>
      </rPr>
      <t>rd</t>
    </r>
    <r>
      <rPr>
        <b/>
        <sz val="14"/>
        <color theme="1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</si>
  <si>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color theme="1"/>
        <rFont val="Book Antiqua"/>
        <family val="1"/>
      </rPr>
      <t>rd</t>
    </r>
    <r>
      <rPr>
        <b/>
        <sz val="14"/>
        <color theme="1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</si>
  <si>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color theme="1"/>
        <rFont val="Book Antiqua"/>
        <family val="1"/>
      </rPr>
      <t>th</t>
    </r>
    <r>
      <rPr>
        <b/>
        <sz val="14"/>
        <color theme="1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</si>
  <si>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color theme="1"/>
        <rFont val="Book Antiqua"/>
        <family val="1"/>
      </rPr>
      <t>th</t>
    </r>
    <r>
      <rPr>
        <b/>
        <sz val="14"/>
        <color theme="1"/>
        <rFont val="Book Antiqua"/>
        <family val="1"/>
      </rPr>
      <t xml:space="preserve"> Dilution Sample Final Volume (mL):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</si>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</sst>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12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vertAlign val="superscript"/>
      <sz val="14"/>
      <color rgb="FF000000"/>
      <name val="Book Antiqua"/>
      <family val="1"/>
    </font>
    <font>
      <b/>
      <sz val="72"/>
      <color theme="1"/>
      <name val="Book Antiqua"/>
      <family val="1"/>
    </font>
    <font>
      <b/>
      <sz val="10"/>
      <color theme="1"/>
      <name val="Book Antiqua"/>
      <family val="1"/>
    </font>
    <font>
      <b/>
      <sz val="10"/>
      <color theme="1"/>
      <name val="Arial"/>
      <family val="2"/>
    </font>
    <font>
      <b/>
      <sz val="52"/>
      <color theme="1"/>
      <name val="Book Antiqua"/>
      <family val="1"/>
    </font>
    <font>
      <b/>
      <i/>
      <sz val="12"/>
      <color theme="1"/>
      <name val="Book Antiqua"/>
      <family val="1"/>
    </font>
    <font>
      <b/>
      <u/>
      <sz val="14"/>
      <color theme="1"/>
      <name val="Book Antiqua"/>
      <family val="1"/>
    </font>
    <font>
      <b/>
      <sz val="14"/>
      <color theme="1"/>
      <name val="Book Antiqua"/>
      <family val="1"/>
    </font>
    <font>
      <b/>
      <sz val="20"/>
      <color theme="1"/>
      <name val="Book Antiqua"/>
      <family val="1"/>
    </font>
    <font>
      <b/>
      <i/>
      <sz val="14"/>
      <color theme="1"/>
      <name val="Book Antiqua"/>
      <family val="1"/>
    </font>
    <font>
      <b/>
      <sz val="12"/>
      <color theme="1"/>
      <name val="Book Antiqua"/>
      <family val="1"/>
    </font>
    <font>
      <b/>
      <sz val="14"/>
      <color theme="1"/>
      <name val="Calibri"/>
      <family val="2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  <font>
      <b/>
      <vertAlign val="superscript"/>
      <sz val="14"/>
      <color theme="1"/>
      <name val="Book Antiqua"/>
      <family val="1"/>
    </font>
    <font>
      <b/>
      <sz val="16"/>
      <color theme="1"/>
      <name val="Book Antiqua"/>
      <family val="1"/>
    </font>
    <font>
      <b/>
      <u/>
      <sz val="20"/>
      <color theme="1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9">
    <xf numFmtId="0" fontId="0" fillId="2" borderId="0" xfId="0" applyFill="1"/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1" xfId="0" applyFont="1" applyFill="1" applyBorder="1"/>
    <xf numFmtId="2" fontId="5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0" xfId="0" applyFont="1" applyFill="1"/>
    <xf numFmtId="2" fontId="4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0" fontId="3" fillId="2" borderId="0" xfId="0" applyFont="1" applyFill="1"/>
    <xf numFmtId="0" fontId="6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vertical="center" wrapText="1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 vertical="center" wrapText="1"/>
    </xf>
    <xf numFmtId="169" fontId="7" fillId="2" borderId="0" xfId="0" applyNumberFormat="1" applyFont="1" applyFill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1" fontId="7" fillId="6" borderId="30" xfId="0" applyNumberFormat="1" applyFont="1" applyFill="1" applyBorder="1" applyAlignment="1">
      <alignment horizontal="center"/>
    </xf>
    <xf numFmtId="170" fontId="7" fillId="6" borderId="3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3" xfId="0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170" fontId="7" fillId="6" borderId="34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10" fontId="7" fillId="6" borderId="32" xfId="0" applyNumberFormat="1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7" fillId="2" borderId="37" xfId="0" applyFont="1" applyFill="1" applyBorder="1"/>
    <xf numFmtId="0" fontId="7" fillId="2" borderId="24" xfId="0" applyFont="1" applyFill="1" applyBorder="1" applyAlignment="1">
      <alignment horizontal="center" wrapText="1"/>
    </xf>
    <xf numFmtId="170" fontId="7" fillId="2" borderId="0" xfId="0" applyNumberFormat="1" applyFont="1" applyFill="1" applyAlignment="1">
      <alignment horizontal="center"/>
    </xf>
    <xf numFmtId="1" fontId="7" fillId="6" borderId="46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1" fontId="7" fillId="6" borderId="15" xfId="0" applyNumberFormat="1" applyFont="1" applyFill="1" applyBorder="1" applyAlignment="1">
      <alignment horizontal="center"/>
    </xf>
    <xf numFmtId="0" fontId="7" fillId="2" borderId="11" xfId="0" applyFont="1" applyFill="1" applyBorder="1"/>
    <xf numFmtId="0" fontId="7" fillId="2" borderId="0" xfId="0" applyFont="1" applyFill="1" applyAlignment="1">
      <alignment horizontal="right"/>
    </xf>
    <xf numFmtId="0" fontId="7" fillId="2" borderId="23" xfId="0" applyFont="1" applyFill="1" applyBorder="1" applyAlignment="1">
      <alignment horizontal="center"/>
    </xf>
    <xf numFmtId="170" fontId="7" fillId="7" borderId="16" xfId="0" applyNumberFormat="1" applyFont="1" applyFill="1" applyBorder="1" applyAlignment="1">
      <alignment horizontal="center"/>
    </xf>
    <xf numFmtId="1" fontId="7" fillId="6" borderId="53" xfId="0" applyNumberFormat="1" applyFont="1" applyFill="1" applyBorder="1" applyAlignment="1">
      <alignment horizontal="center"/>
    </xf>
    <xf numFmtId="0" fontId="7" fillId="2" borderId="11" xfId="0" applyFont="1" applyFill="1" applyBorder="1" applyProtection="1">
      <protection locked="0"/>
    </xf>
    <xf numFmtId="165" fontId="7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55" xfId="0" applyFont="1" applyFill="1" applyBorder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56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41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28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0" fontId="13" fillId="7" borderId="58" xfId="0" applyFont="1" applyFill="1" applyBorder="1" applyAlignment="1">
      <alignment horizontal="center"/>
    </xf>
    <xf numFmtId="170" fontId="13" fillId="3" borderId="29" xfId="0" applyNumberFormat="1" applyFont="1" applyFill="1" applyBorder="1" applyAlignment="1" applyProtection="1">
      <alignment horizontal="center"/>
      <protection locked="0"/>
    </xf>
    <xf numFmtId="1" fontId="13" fillId="3" borderId="39" xfId="0" applyNumberFormat="1" applyFont="1" applyFill="1" applyBorder="1" applyAlignment="1" applyProtection="1">
      <alignment horizontal="center"/>
      <protection locked="0"/>
    </xf>
    <xf numFmtId="1" fontId="13" fillId="3" borderId="40" xfId="0" applyNumberFormat="1" applyFont="1" applyFill="1" applyBorder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10" fontId="13" fillId="7" borderId="41" xfId="0" applyNumberFormat="1" applyFont="1" applyFill="1" applyBorder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left"/>
      <protection locked="0"/>
    </xf>
    <xf numFmtId="0" fontId="7" fillId="2" borderId="35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47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5" fillId="3" borderId="3" xfId="0" applyFont="1" applyFill="1" applyBorder="1" applyAlignment="1" applyProtection="1">
      <alignment horizontal="center"/>
      <protection locked="0"/>
    </xf>
    <xf numFmtId="1" fontId="13" fillId="3" borderId="22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/>
    <xf numFmtId="0" fontId="4" fillId="2" borderId="3" xfId="0" applyFont="1" applyFill="1" applyBorder="1" applyAlignment="1">
      <alignment horizontal="center"/>
    </xf>
    <xf numFmtId="0" fontId="16" fillId="3" borderId="3" xfId="0" applyFont="1" applyFill="1" applyBorder="1" applyAlignment="1" applyProtection="1">
      <alignment horizontal="center"/>
      <protection locked="0"/>
    </xf>
    <xf numFmtId="2" fontId="16" fillId="3" borderId="3" xfId="0" applyNumberFormat="1" applyFont="1" applyFill="1" applyBorder="1" applyAlignment="1" applyProtection="1">
      <alignment horizontal="center"/>
      <protection locked="0"/>
    </xf>
    <xf numFmtId="2" fontId="16" fillId="3" borderId="4" xfId="0" applyNumberFormat="1" applyFont="1" applyFill="1" applyBorder="1" applyAlignment="1" applyProtection="1">
      <alignment horizontal="center"/>
      <protection locked="0"/>
    </xf>
    <xf numFmtId="0" fontId="16" fillId="3" borderId="5" xfId="0" applyFont="1" applyFill="1" applyBorder="1" applyAlignment="1" applyProtection="1">
      <alignment horizontal="center"/>
      <protection locked="0"/>
    </xf>
    <xf numFmtId="2" fontId="16" fillId="3" borderId="5" xfId="0" applyNumberFormat="1" applyFont="1" applyFill="1" applyBorder="1" applyAlignment="1" applyProtection="1">
      <alignment horizontal="center"/>
      <protection locked="0"/>
    </xf>
    <xf numFmtId="0" fontId="4" fillId="2" borderId="4" xfId="0" applyFont="1" applyFill="1" applyBorder="1"/>
    <xf numFmtId="0" fontId="4" fillId="2" borderId="3" xfId="0" applyFont="1" applyFill="1" applyBorder="1"/>
    <xf numFmtId="0" fontId="4" fillId="2" borderId="6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 applyProtection="1">
      <protection locked="0"/>
    </xf>
    <xf numFmtId="0" fontId="1" fillId="2" borderId="9" xfId="0" applyFont="1" applyFill="1" applyBorder="1"/>
    <xf numFmtId="0" fontId="1" fillId="2" borderId="0" xfId="0" applyFont="1" applyFill="1" applyAlignment="1">
      <alignment horizontal="center"/>
    </xf>
    <xf numFmtId="10" fontId="1" fillId="2" borderId="9" xfId="0" applyNumberFormat="1" applyFont="1" applyFill="1" applyBorder="1"/>
    <xf numFmtId="0" fontId="1" fillId="2" borderId="7" xfId="0" applyFont="1" applyFill="1" applyBorder="1"/>
    <xf numFmtId="167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/>
    <xf numFmtId="0" fontId="17" fillId="2" borderId="0" xfId="0" applyFont="1" applyFill="1"/>
    <xf numFmtId="2" fontId="4" fillId="3" borderId="14" xfId="0" applyNumberFormat="1" applyFont="1" applyFill="1" applyBorder="1" applyProtection="1">
      <protection locked="0"/>
    </xf>
    <xf numFmtId="10" fontId="4" fillId="2" borderId="13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4" fillId="2" borderId="14" xfId="0" applyNumberFormat="1" applyFont="1" applyFill="1" applyBorder="1" applyAlignment="1">
      <alignment horizontal="center"/>
    </xf>
    <xf numFmtId="2" fontId="4" fillId="3" borderId="15" xfId="0" applyNumberFormat="1" applyFont="1" applyFill="1" applyBorder="1" applyProtection="1">
      <protection locked="0"/>
    </xf>
    <xf numFmtId="10" fontId="4" fillId="2" borderId="15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4" fillId="2" borderId="12" xfId="0" applyFont="1" applyFill="1" applyBorder="1" applyAlignment="1">
      <alignment horizontal="right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/>
    </xf>
    <xf numFmtId="10" fontId="1" fillId="2" borderId="0" xfId="0" applyNumberFormat="1" applyFont="1" applyFill="1"/>
    <xf numFmtId="0" fontId="4" fillId="2" borderId="9" xfId="0" applyFont="1" applyFill="1" applyBorder="1"/>
    <xf numFmtId="10" fontId="4" fillId="2" borderId="9" xfId="0" applyNumberFormat="1" applyFont="1" applyFill="1" applyBorder="1"/>
    <xf numFmtId="0" fontId="15" fillId="2" borderId="0" xfId="0" applyFont="1" applyFill="1"/>
    <xf numFmtId="0" fontId="15" fillId="3" borderId="0" xfId="0" applyFont="1" applyFill="1" applyProtection="1">
      <protection locked="0"/>
    </xf>
    <xf numFmtId="0" fontId="7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left"/>
      <protection locked="0"/>
    </xf>
    <xf numFmtId="168" fontId="7" fillId="2" borderId="0" xfId="0" applyNumberFormat="1" applyFont="1" applyFill="1" applyAlignment="1">
      <alignment horizontal="left"/>
    </xf>
    <xf numFmtId="0" fontId="18" fillId="2" borderId="0" xfId="0" applyFont="1" applyFill="1"/>
    <xf numFmtId="0" fontId="9" fillId="2" borderId="0" xfId="0" applyFont="1" applyFill="1"/>
    <xf numFmtId="0" fontId="19" fillId="2" borderId="0" xfId="0" applyFont="1" applyFill="1"/>
    <xf numFmtId="0" fontId="7" fillId="2" borderId="21" xfId="0" applyFont="1" applyFill="1" applyBorder="1" applyAlignment="1">
      <alignment horizontal="right"/>
    </xf>
    <xf numFmtId="0" fontId="7" fillId="2" borderId="22" xfId="0" applyFont="1" applyFill="1" applyBorder="1" applyAlignment="1">
      <alignment horizontal="right"/>
    </xf>
    <xf numFmtId="0" fontId="7" fillId="2" borderId="27" xfId="0" applyFont="1" applyFill="1" applyBorder="1" applyAlignment="1">
      <alignment horizontal="center"/>
    </xf>
    <xf numFmtId="170" fontId="7" fillId="2" borderId="38" xfId="0" applyNumberFormat="1" applyFont="1" applyFill="1" applyBorder="1" applyAlignment="1">
      <alignment horizontal="center"/>
    </xf>
    <xf numFmtId="170" fontId="7" fillId="2" borderId="26" xfId="0" applyNumberFormat="1" applyFont="1" applyFill="1" applyBorder="1" applyAlignment="1">
      <alignment horizontal="center"/>
    </xf>
    <xf numFmtId="170" fontId="7" fillId="2" borderId="39" xfId="0" applyNumberFormat="1" applyFont="1" applyFill="1" applyBorder="1" applyAlignment="1">
      <alignment horizontal="center"/>
    </xf>
    <xf numFmtId="170" fontId="7" fillId="2" borderId="48" xfId="0" applyNumberFormat="1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170" fontId="7" fillId="2" borderId="40" xfId="0" applyNumberFormat="1" applyFont="1" applyFill="1" applyBorder="1" applyAlignment="1">
      <alignment horizontal="center"/>
    </xf>
    <xf numFmtId="170" fontId="7" fillId="2" borderId="49" xfId="0" applyNumberFormat="1" applyFont="1" applyFill="1" applyBorder="1" applyAlignment="1">
      <alignment horizontal="center"/>
    </xf>
    <xf numFmtId="0" fontId="7" fillId="2" borderId="23" xfId="0" applyFont="1" applyFill="1" applyBorder="1" applyAlignment="1">
      <alignment horizontal="right"/>
    </xf>
    <xf numFmtId="0" fontId="7" fillId="2" borderId="52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2" fontId="7" fillId="6" borderId="41" xfId="0" applyNumberFormat="1" applyFont="1" applyFill="1" applyBorder="1" applyAlignment="1">
      <alignment horizontal="center"/>
    </xf>
    <xf numFmtId="2" fontId="7" fillId="6" borderId="32" xfId="0" applyNumberFormat="1" applyFont="1" applyFill="1" applyBorder="1" applyAlignment="1">
      <alignment horizontal="center"/>
    </xf>
    <xf numFmtId="2" fontId="7" fillId="7" borderId="41" xfId="0" applyNumberFormat="1" applyFont="1" applyFill="1" applyBorder="1" applyAlignment="1">
      <alignment horizontal="center"/>
    </xf>
    <xf numFmtId="2" fontId="7" fillId="7" borderId="32" xfId="0" applyNumberFormat="1" applyFont="1" applyFill="1" applyBorder="1" applyAlignment="1">
      <alignment horizontal="center"/>
    </xf>
    <xf numFmtId="2" fontId="7" fillId="6" borderId="17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2" borderId="51" xfId="0" applyFont="1" applyFill="1" applyBorder="1" applyAlignment="1">
      <alignment horizontal="right"/>
    </xf>
    <xf numFmtId="2" fontId="7" fillId="7" borderId="26" xfId="0" applyNumberFormat="1" applyFont="1" applyFill="1" applyBorder="1" applyAlignment="1">
      <alignment horizontal="center"/>
    </xf>
    <xf numFmtId="0" fontId="7" fillId="2" borderId="16" xfId="0" applyFont="1" applyFill="1" applyBorder="1" applyAlignment="1">
      <alignment horizontal="right"/>
    </xf>
    <xf numFmtId="0" fontId="7" fillId="2" borderId="32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2" fontId="7" fillId="2" borderId="21" xfId="0" applyNumberFormat="1" applyFont="1" applyFill="1" applyBorder="1" applyAlignment="1">
      <alignment horizontal="center"/>
    </xf>
    <xf numFmtId="10" fontId="7" fillId="2" borderId="13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2" fontId="7" fillId="2" borderId="22" xfId="0" applyNumberFormat="1" applyFont="1" applyFill="1" applyBorder="1" applyAlignment="1">
      <alignment horizontal="center"/>
    </xf>
    <xf numFmtId="10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/>
    </xf>
    <xf numFmtId="10" fontId="7" fillId="2" borderId="23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/>
    </xf>
    <xf numFmtId="10" fontId="7" fillId="2" borderId="50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right"/>
    </xf>
    <xf numFmtId="2" fontId="13" fillId="2" borderId="50" xfId="0" applyNumberFormat="1" applyFont="1" applyFill="1" applyBorder="1" applyAlignment="1">
      <alignment horizontal="center"/>
    </xf>
    <xf numFmtId="10" fontId="7" fillId="2" borderId="15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right"/>
    </xf>
    <xf numFmtId="0" fontId="7" fillId="2" borderId="4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22" xfId="0" applyFont="1" applyFill="1" applyBorder="1" applyAlignment="1">
      <alignment horizontal="center"/>
    </xf>
    <xf numFmtId="2" fontId="7" fillId="2" borderId="38" xfId="0" applyNumberFormat="1" applyFont="1" applyFill="1" applyBorder="1" applyAlignment="1">
      <alignment horizontal="center"/>
    </xf>
    <xf numFmtId="10" fontId="7" fillId="2" borderId="26" xfId="0" applyNumberFormat="1" applyFont="1" applyFill="1" applyBorder="1" applyAlignment="1">
      <alignment horizontal="center"/>
    </xf>
    <xf numFmtId="2" fontId="7" fillId="2" borderId="39" xfId="0" applyNumberFormat="1" applyFont="1" applyFill="1" applyBorder="1" applyAlignment="1">
      <alignment horizontal="center"/>
    </xf>
    <xf numFmtId="10" fontId="7" fillId="2" borderId="48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2" fontId="7" fillId="2" borderId="40" xfId="0" applyNumberFormat="1" applyFont="1" applyFill="1" applyBorder="1" applyAlignment="1">
      <alignment horizontal="center"/>
    </xf>
    <xf numFmtId="10" fontId="7" fillId="2" borderId="49" xfId="0" applyNumberFormat="1" applyFont="1" applyFill="1" applyBorder="1" applyAlignment="1">
      <alignment horizontal="center"/>
    </xf>
    <xf numFmtId="2" fontId="7" fillId="2" borderId="23" xfId="0" applyNumberFormat="1" applyFont="1" applyFill="1" applyBorder="1" applyAlignment="1">
      <alignment horizontal="center"/>
    </xf>
    <xf numFmtId="170" fontId="7" fillId="2" borderId="2" xfId="0" applyNumberFormat="1" applyFont="1" applyFill="1" applyBorder="1" applyAlignment="1">
      <alignment horizontal="right"/>
    </xf>
    <xf numFmtId="0" fontId="7" fillId="2" borderId="22" xfId="0" applyFont="1" applyFill="1" applyBorder="1"/>
    <xf numFmtId="0" fontId="7" fillId="2" borderId="6" xfId="0" applyFont="1" applyFill="1" applyBorder="1"/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/>
    </xf>
    <xf numFmtId="2" fontId="7" fillId="2" borderId="3" xfId="0" applyNumberFormat="1" applyFont="1" applyFill="1" applyBorder="1" applyAlignment="1">
      <alignment horizontal="center"/>
    </xf>
    <xf numFmtId="10" fontId="7" fillId="2" borderId="23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28" xfId="0" applyNumberFormat="1" applyFont="1" applyFill="1" applyBorder="1" applyAlignment="1">
      <alignment horizontal="center"/>
    </xf>
    <xf numFmtId="0" fontId="7" fillId="2" borderId="23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/>
    <xf numFmtId="0" fontId="7" fillId="2" borderId="7" xfId="0" applyFont="1" applyFill="1" applyBorder="1" applyProtection="1">
      <protection locked="0"/>
    </xf>
    <xf numFmtId="0" fontId="7" fillId="2" borderId="7" xfId="0" applyFont="1" applyFill="1" applyBorder="1"/>
    <xf numFmtId="0" fontId="22" fillId="2" borderId="0" xfId="0" applyFont="1" applyFill="1"/>
    <xf numFmtId="0" fontId="23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7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Protection="1">
      <protection locked="0"/>
    </xf>
    <xf numFmtId="168" fontId="27" fillId="3" borderId="0" xfId="0" applyNumberFormat="1" applyFont="1" applyFill="1" applyAlignment="1" applyProtection="1">
      <alignment horizontal="left"/>
      <protection locked="0"/>
    </xf>
    <xf numFmtId="168" fontId="27" fillId="2" borderId="0" xfId="0" applyNumberFormat="1" applyFont="1" applyFill="1" applyAlignment="1">
      <alignment horizontal="left"/>
    </xf>
    <xf numFmtId="0" fontId="26" fillId="2" borderId="0" xfId="0" applyFont="1" applyFill="1" applyAlignment="1">
      <alignment horizontal="left"/>
    </xf>
    <xf numFmtId="0" fontId="27" fillId="2" borderId="0" xfId="0" applyFont="1" applyFill="1" applyAlignment="1">
      <alignment horizontal="right"/>
    </xf>
    <xf numFmtId="0" fontId="28" fillId="3" borderId="0" xfId="0" applyFont="1" applyFill="1" applyAlignment="1" applyProtection="1">
      <alignment horizontal="center"/>
      <protection locked="0"/>
    </xf>
    <xf numFmtId="0" fontId="30" fillId="2" borderId="0" xfId="0" applyFont="1" applyFill="1"/>
    <xf numFmtId="0" fontId="31" fillId="2" borderId="0" xfId="0" applyFont="1" applyFill="1" applyAlignment="1">
      <alignment vertical="center" wrapText="1"/>
    </xf>
    <xf numFmtId="0" fontId="27" fillId="2" borderId="0" xfId="0" applyFont="1" applyFill="1" applyAlignment="1">
      <alignment horizontal="center"/>
    </xf>
    <xf numFmtId="0" fontId="32" fillId="2" borderId="0" xfId="0" applyFont="1" applyFill="1"/>
    <xf numFmtId="0" fontId="29" fillId="2" borderId="0" xfId="0" applyFont="1" applyFill="1"/>
    <xf numFmtId="2" fontId="28" fillId="3" borderId="0" xfId="0" applyNumberFormat="1" applyFont="1" applyFill="1" applyAlignment="1" applyProtection="1">
      <alignment horizontal="center"/>
      <protection locked="0"/>
    </xf>
    <xf numFmtId="0" fontId="27" fillId="2" borderId="0" xfId="0" applyFont="1" applyFill="1" applyAlignment="1">
      <alignment vertical="center" wrapText="1"/>
    </xf>
    <xf numFmtId="0" fontId="33" fillId="2" borderId="0" xfId="0" applyFont="1" applyFill="1"/>
    <xf numFmtId="2" fontId="2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169" fontId="27" fillId="2" borderId="0" xfId="0" applyNumberFormat="1" applyFont="1" applyFill="1" applyAlignment="1">
      <alignment horizontal="center"/>
    </xf>
    <xf numFmtId="0" fontId="27" fillId="2" borderId="21" xfId="0" applyFont="1" applyFill="1" applyBorder="1" applyAlignment="1">
      <alignment horizontal="right"/>
    </xf>
    <xf numFmtId="0" fontId="28" fillId="3" borderId="24" xfId="0" applyFont="1" applyFill="1" applyBorder="1" applyAlignment="1" applyProtection="1">
      <alignment horizontal="center"/>
      <protection locked="0"/>
    </xf>
    <xf numFmtId="0" fontId="27" fillId="2" borderId="22" xfId="0" applyFont="1" applyFill="1" applyBorder="1" applyAlignment="1">
      <alignment horizontal="right"/>
    </xf>
    <xf numFmtId="0" fontId="28" fillId="3" borderId="23" xfId="0" applyFont="1" applyFill="1" applyBorder="1" applyAlignment="1" applyProtection="1">
      <alignment horizontal="center"/>
      <protection locked="0"/>
    </xf>
    <xf numFmtId="0" fontId="27" fillId="2" borderId="24" xfId="0" applyFont="1" applyFill="1" applyBorder="1" applyAlignment="1">
      <alignment horizontal="center"/>
    </xf>
    <xf numFmtId="0" fontId="27" fillId="2" borderId="25" xfId="0" applyFont="1" applyFill="1" applyBorder="1" applyAlignment="1">
      <alignment horizontal="center"/>
    </xf>
    <xf numFmtId="0" fontId="27" fillId="2" borderId="38" xfId="0" applyFont="1" applyFill="1" applyBorder="1" applyAlignment="1">
      <alignment horizontal="center"/>
    </xf>
    <xf numFmtId="0" fontId="27" fillId="2" borderId="26" xfId="0" applyFont="1" applyFill="1" applyBorder="1" applyAlignment="1">
      <alignment horizontal="center"/>
    </xf>
    <xf numFmtId="0" fontId="27" fillId="2" borderId="27" xfId="0" applyFont="1" applyFill="1" applyBorder="1" applyAlignment="1">
      <alignment horizontal="center"/>
    </xf>
    <xf numFmtId="0" fontId="35" fillId="3" borderId="3" xfId="0" applyFont="1" applyFill="1" applyBorder="1" applyAlignment="1" applyProtection="1">
      <alignment horizontal="center"/>
      <protection locked="0"/>
    </xf>
    <xf numFmtId="170" fontId="27" fillId="2" borderId="38" xfId="0" applyNumberFormat="1" applyFont="1" applyFill="1" applyBorder="1" applyAlignment="1">
      <alignment horizontal="center"/>
    </xf>
    <xf numFmtId="0" fontId="28" fillId="3" borderId="55" xfId="0" applyFont="1" applyFill="1" applyBorder="1" applyAlignment="1" applyProtection="1">
      <alignment horizontal="center"/>
      <protection locked="0"/>
    </xf>
    <xf numFmtId="170" fontId="27" fillId="2" borderId="26" xfId="0" applyNumberFormat="1" applyFont="1" applyFill="1" applyBorder="1" applyAlignment="1">
      <alignment horizontal="center"/>
    </xf>
    <xf numFmtId="0" fontId="27" fillId="2" borderId="23" xfId="0" applyFont="1" applyFill="1" applyBorder="1" applyAlignment="1">
      <alignment horizontal="center"/>
    </xf>
    <xf numFmtId="170" fontId="27" fillId="2" borderId="39" xfId="0" applyNumberFormat="1" applyFont="1" applyFill="1" applyBorder="1" applyAlignment="1">
      <alignment horizontal="center"/>
    </xf>
    <xf numFmtId="170" fontId="27" fillId="2" borderId="48" xfId="0" applyNumberFormat="1" applyFont="1" applyFill="1" applyBorder="1" applyAlignment="1">
      <alignment horizontal="center"/>
    </xf>
    <xf numFmtId="0" fontId="27" fillId="2" borderId="28" xfId="0" applyFont="1" applyFill="1" applyBorder="1" applyAlignment="1">
      <alignment horizontal="center"/>
    </xf>
    <xf numFmtId="170" fontId="27" fillId="2" borderId="40" xfId="0" applyNumberFormat="1" applyFont="1" applyFill="1" applyBorder="1" applyAlignment="1">
      <alignment horizontal="center"/>
    </xf>
    <xf numFmtId="170" fontId="27" fillId="2" borderId="49" xfId="0" applyNumberFormat="1" applyFont="1" applyFill="1" applyBorder="1" applyAlignment="1">
      <alignment horizontal="center"/>
    </xf>
    <xf numFmtId="0" fontId="27" fillId="2" borderId="23" xfId="0" applyFont="1" applyFill="1" applyBorder="1" applyAlignment="1">
      <alignment horizontal="right"/>
    </xf>
    <xf numFmtId="1" fontId="27" fillId="6" borderId="30" xfId="0" applyNumberFormat="1" applyFont="1" applyFill="1" applyBorder="1" applyAlignment="1">
      <alignment horizontal="center"/>
    </xf>
    <xf numFmtId="170" fontId="27" fillId="6" borderId="34" xfId="0" applyNumberFormat="1" applyFont="1" applyFill="1" applyBorder="1" applyAlignment="1">
      <alignment horizontal="center"/>
    </xf>
    <xf numFmtId="170" fontId="27" fillId="6" borderId="31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7" fillId="2" borderId="52" xfId="0" applyFont="1" applyFill="1" applyBorder="1" applyAlignment="1">
      <alignment horizontal="right"/>
    </xf>
    <xf numFmtId="0" fontId="28" fillId="3" borderId="16" xfId="0" applyFont="1" applyFill="1" applyBorder="1" applyAlignment="1" applyProtection="1">
      <alignment horizontal="center"/>
      <protection locked="0"/>
    </xf>
    <xf numFmtId="0" fontId="27" fillId="2" borderId="25" xfId="0" applyFont="1" applyFill="1" applyBorder="1" applyAlignment="1">
      <alignment horizontal="right"/>
    </xf>
    <xf numFmtId="2" fontId="27" fillId="6" borderId="41" xfId="0" applyNumberFormat="1" applyFont="1" applyFill="1" applyBorder="1" applyAlignment="1">
      <alignment horizontal="center"/>
    </xf>
    <xf numFmtId="2" fontId="27" fillId="6" borderId="32" xfId="0" applyNumberFormat="1" applyFont="1" applyFill="1" applyBorder="1" applyAlignment="1">
      <alignment horizontal="center"/>
    </xf>
    <xf numFmtId="2" fontId="27" fillId="7" borderId="41" xfId="0" applyNumberFormat="1" applyFont="1" applyFill="1" applyBorder="1" applyAlignment="1">
      <alignment horizontal="center"/>
    </xf>
    <xf numFmtId="2" fontId="27" fillId="7" borderId="32" xfId="0" applyNumberFormat="1" applyFont="1" applyFill="1" applyBorder="1" applyAlignment="1">
      <alignment horizontal="center"/>
    </xf>
    <xf numFmtId="2" fontId="27" fillId="6" borderId="17" xfId="0" applyNumberFormat="1" applyFont="1" applyFill="1" applyBorder="1" applyAlignment="1">
      <alignment horizontal="center"/>
    </xf>
    <xf numFmtId="0" fontId="28" fillId="3" borderId="41" xfId="0" applyFont="1" applyFill="1" applyBorder="1" applyAlignment="1" applyProtection="1">
      <alignment horizontal="center"/>
      <protection locked="0"/>
    </xf>
    <xf numFmtId="1" fontId="27" fillId="2" borderId="0" xfId="0" applyNumberFormat="1" applyFont="1" applyFill="1" applyAlignment="1">
      <alignment horizontal="center"/>
    </xf>
    <xf numFmtId="0" fontId="27" fillId="2" borderId="51" xfId="0" applyFont="1" applyFill="1" applyBorder="1" applyAlignment="1">
      <alignment horizontal="right"/>
    </xf>
    <xf numFmtId="2" fontId="27" fillId="7" borderId="26" xfId="0" applyNumberFormat="1" applyFont="1" applyFill="1" applyBorder="1" applyAlignment="1">
      <alignment horizontal="center"/>
    </xf>
    <xf numFmtId="170" fontId="27" fillId="2" borderId="0" xfId="0" applyNumberFormat="1" applyFont="1" applyFill="1" applyAlignment="1">
      <alignment horizontal="center"/>
    </xf>
    <xf numFmtId="0" fontId="27" fillId="2" borderId="16" xfId="0" applyFont="1" applyFill="1" applyBorder="1" applyAlignment="1">
      <alignment horizontal="right"/>
    </xf>
    <xf numFmtId="170" fontId="27" fillId="7" borderId="16" xfId="0" applyNumberFormat="1" applyFont="1" applyFill="1" applyBorder="1" applyAlignment="1">
      <alignment horizontal="center"/>
    </xf>
    <xf numFmtId="0" fontId="27" fillId="2" borderId="32" xfId="0" applyFont="1" applyFill="1" applyBorder="1" applyAlignment="1">
      <alignment horizontal="right"/>
    </xf>
    <xf numFmtId="10" fontId="27" fillId="6" borderId="32" xfId="0" applyNumberFormat="1" applyFont="1" applyFill="1" applyBorder="1" applyAlignment="1">
      <alignment horizontal="center"/>
    </xf>
    <xf numFmtId="0" fontId="27" fillId="2" borderId="17" xfId="0" applyFont="1" applyFill="1" applyBorder="1" applyAlignment="1">
      <alignment horizontal="right"/>
    </xf>
    <xf numFmtId="0" fontId="27" fillId="7" borderId="17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166" fontId="27" fillId="2" borderId="0" xfId="0" applyNumberFormat="1" applyFont="1" applyFill="1" applyAlignment="1" applyProtection="1">
      <alignment horizontal="center"/>
      <protection locked="0"/>
    </xf>
    <xf numFmtId="2" fontId="27" fillId="2" borderId="13" xfId="0" applyNumberFormat="1" applyFont="1" applyFill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0" fontId="28" fillId="3" borderId="21" xfId="0" applyFont="1" applyFill="1" applyBorder="1" applyAlignment="1" applyProtection="1">
      <alignment horizontal="center"/>
      <protection locked="0"/>
    </xf>
    <xf numFmtId="2" fontId="27" fillId="2" borderId="21" xfId="0" applyNumberFormat="1" applyFont="1" applyFill="1" applyBorder="1" applyAlignment="1">
      <alignment horizontal="center"/>
    </xf>
    <xf numFmtId="10" fontId="27" fillId="2" borderId="13" xfId="0" applyNumberFormat="1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/>
    </xf>
    <xf numFmtId="0" fontId="28" fillId="3" borderId="22" xfId="0" applyFont="1" applyFill="1" applyBorder="1" applyAlignment="1" applyProtection="1">
      <alignment horizontal="center"/>
      <protection locked="0"/>
    </xf>
    <xf numFmtId="2" fontId="27" fillId="2" borderId="22" xfId="0" applyNumberFormat="1" applyFont="1" applyFill="1" applyBorder="1" applyAlignment="1">
      <alignment horizontal="center"/>
    </xf>
    <xf numFmtId="10" fontId="27" fillId="2" borderId="14" xfId="0" applyNumberFormat="1" applyFont="1" applyFill="1" applyBorder="1" applyAlignment="1">
      <alignment horizontal="center" vertical="center"/>
    </xf>
    <xf numFmtId="1" fontId="28" fillId="3" borderId="22" xfId="0" applyNumberFormat="1" applyFont="1" applyFill="1" applyBorder="1" applyAlignment="1" applyProtection="1">
      <alignment horizontal="center"/>
      <protection locked="0"/>
    </xf>
    <xf numFmtId="0" fontId="27" fillId="2" borderId="15" xfId="0" applyFont="1" applyFill="1" applyBorder="1" applyAlignment="1">
      <alignment horizontal="center"/>
    </xf>
    <xf numFmtId="0" fontId="28" fillId="3" borderId="42" xfId="0" applyFont="1" applyFill="1" applyBorder="1" applyAlignment="1" applyProtection="1">
      <alignment horizontal="center"/>
      <protection locked="0"/>
    </xf>
    <xf numFmtId="10" fontId="27" fillId="2" borderId="24" xfId="0" applyNumberFormat="1" applyFont="1" applyFill="1" applyBorder="1" applyAlignment="1">
      <alignment horizontal="center" vertical="center"/>
    </xf>
    <xf numFmtId="2" fontId="27" fillId="2" borderId="14" xfId="0" applyNumberFormat="1" applyFont="1" applyFill="1" applyBorder="1" applyAlignment="1">
      <alignment horizontal="center"/>
    </xf>
    <xf numFmtId="10" fontId="27" fillId="2" borderId="23" xfId="0" applyNumberFormat="1" applyFont="1" applyFill="1" applyBorder="1" applyAlignment="1">
      <alignment horizontal="center" vertical="center"/>
    </xf>
    <xf numFmtId="2" fontId="27" fillId="2" borderId="15" xfId="0" applyNumberFormat="1" applyFont="1" applyFill="1" applyBorder="1" applyAlignment="1">
      <alignment horizontal="center"/>
    </xf>
    <xf numFmtId="10" fontId="27" fillId="2" borderId="50" xfId="0" applyNumberFormat="1" applyFont="1" applyFill="1" applyBorder="1" applyAlignment="1">
      <alignment horizontal="center" vertical="center"/>
    </xf>
    <xf numFmtId="0" fontId="27" fillId="2" borderId="42" xfId="0" applyFont="1" applyFill="1" applyBorder="1" applyAlignment="1">
      <alignment horizontal="right"/>
    </xf>
    <xf numFmtId="2" fontId="27" fillId="2" borderId="50" xfId="0" applyNumberFormat="1" applyFont="1" applyFill="1" applyBorder="1" applyAlignment="1">
      <alignment horizontal="center"/>
    </xf>
    <xf numFmtId="10" fontId="27" fillId="2" borderId="15" xfId="0" applyNumberFormat="1" applyFont="1" applyFill="1" applyBorder="1" applyAlignment="1">
      <alignment horizontal="center" vertical="center"/>
    </xf>
    <xf numFmtId="0" fontId="27" fillId="2" borderId="33" xfId="0" applyFont="1" applyFill="1" applyBorder="1" applyAlignment="1">
      <alignment horizontal="right"/>
    </xf>
    <xf numFmtId="10" fontId="28" fillId="7" borderId="28" xfId="0" applyNumberFormat="1" applyFont="1" applyFill="1" applyBorder="1" applyAlignment="1">
      <alignment horizontal="center"/>
    </xf>
    <xf numFmtId="10" fontId="28" fillId="6" borderId="57" xfId="0" applyNumberFormat="1" applyFont="1" applyFill="1" applyBorder="1" applyAlignment="1">
      <alignment horizontal="center"/>
    </xf>
    <xf numFmtId="0" fontId="28" fillId="7" borderId="58" xfId="0" applyFont="1" applyFill="1" applyBorder="1" applyAlignment="1">
      <alignment horizontal="center"/>
    </xf>
    <xf numFmtId="165" fontId="27" fillId="2" borderId="0" xfId="0" applyNumberFormat="1" applyFont="1" applyFill="1" applyAlignment="1">
      <alignment horizontal="center"/>
    </xf>
    <xf numFmtId="0" fontId="36" fillId="3" borderId="0" xfId="0" applyFont="1" applyFill="1" applyAlignment="1" applyProtection="1">
      <alignment horizontal="center"/>
      <protection locked="0"/>
    </xf>
    <xf numFmtId="0" fontId="27" fillId="3" borderId="0" xfId="0" applyFont="1" applyFill="1"/>
    <xf numFmtId="0" fontId="27" fillId="2" borderId="35" xfId="0" applyFont="1" applyFill="1" applyBorder="1" applyAlignment="1">
      <alignment horizontal="center"/>
    </xf>
    <xf numFmtId="0" fontId="27" fillId="2" borderId="47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0" fontId="27" fillId="2" borderId="45" xfId="0" applyFont="1" applyFill="1" applyBorder="1" applyAlignment="1">
      <alignment horizontal="center"/>
    </xf>
    <xf numFmtId="0" fontId="27" fillId="2" borderId="7" xfId="0" applyFont="1" applyFill="1" applyBorder="1" applyAlignment="1">
      <alignment horizontal="center"/>
    </xf>
    <xf numFmtId="0" fontId="28" fillId="3" borderId="29" xfId="0" applyFont="1" applyFill="1" applyBorder="1" applyAlignment="1" applyProtection="1">
      <alignment horizontal="center"/>
      <protection locked="0"/>
    </xf>
    <xf numFmtId="170" fontId="28" fillId="3" borderId="29" xfId="0" applyNumberFormat="1" applyFont="1" applyFill="1" applyBorder="1" applyAlignment="1" applyProtection="1">
      <alignment horizontal="center"/>
      <protection locked="0"/>
    </xf>
    <xf numFmtId="0" fontId="28" fillId="3" borderId="56" xfId="0" applyFont="1" applyFill="1" applyBorder="1" applyAlignment="1" applyProtection="1">
      <alignment horizontal="center"/>
      <protection locked="0"/>
    </xf>
    <xf numFmtId="170" fontId="27" fillId="6" borderId="41" xfId="0" applyNumberFormat="1" applyFont="1" applyFill="1" applyBorder="1" applyAlignment="1">
      <alignment horizontal="center"/>
    </xf>
    <xf numFmtId="170" fontId="27" fillId="6" borderId="17" xfId="0" applyNumberFormat="1" applyFont="1" applyFill="1" applyBorder="1" applyAlignment="1">
      <alignment horizontal="center"/>
    </xf>
    <xf numFmtId="170" fontId="27" fillId="7" borderId="41" xfId="0" applyNumberFormat="1" applyFont="1" applyFill="1" applyBorder="1" applyAlignment="1">
      <alignment horizontal="center"/>
    </xf>
    <xf numFmtId="2" fontId="22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 wrapText="1"/>
    </xf>
    <xf numFmtId="10" fontId="27" fillId="2" borderId="0" xfId="0" applyNumberFormat="1" applyFont="1" applyFill="1" applyAlignment="1">
      <alignment horizontal="center"/>
    </xf>
    <xf numFmtId="0" fontId="27" fillId="2" borderId="36" xfId="0" applyFont="1" applyFill="1" applyBorder="1" applyAlignment="1">
      <alignment horizontal="center"/>
    </xf>
    <xf numFmtId="0" fontId="27" fillId="2" borderId="37" xfId="0" applyFont="1" applyFill="1" applyBorder="1"/>
    <xf numFmtId="0" fontId="27" fillId="2" borderId="24" xfId="0" applyFont="1" applyFill="1" applyBorder="1" applyAlignment="1">
      <alignment horizontal="center" wrapText="1"/>
    </xf>
    <xf numFmtId="0" fontId="27" fillId="2" borderId="22" xfId="0" applyFont="1" applyFill="1" applyBorder="1" applyAlignment="1">
      <alignment horizontal="center"/>
    </xf>
    <xf numFmtId="166" fontId="28" fillId="3" borderId="39" xfId="0" applyNumberFormat="1" applyFont="1" applyFill="1" applyBorder="1" applyAlignment="1" applyProtection="1">
      <alignment horizontal="center"/>
      <protection locked="0"/>
    </xf>
    <xf numFmtId="2" fontId="27" fillId="2" borderId="38" xfId="0" applyNumberFormat="1" applyFont="1" applyFill="1" applyBorder="1" applyAlignment="1">
      <alignment horizontal="center"/>
    </xf>
    <xf numFmtId="10" fontId="27" fillId="2" borderId="26" xfId="0" applyNumberFormat="1" applyFont="1" applyFill="1" applyBorder="1" applyAlignment="1">
      <alignment horizontal="center"/>
    </xf>
    <xf numFmtId="2" fontId="27" fillId="2" borderId="39" xfId="0" applyNumberFormat="1" applyFont="1" applyFill="1" applyBorder="1" applyAlignment="1">
      <alignment horizontal="center"/>
    </xf>
    <xf numFmtId="10" fontId="27" fillId="2" borderId="48" xfId="0" applyNumberFormat="1" applyFont="1" applyFill="1" applyBorder="1" applyAlignment="1">
      <alignment horizontal="center"/>
    </xf>
    <xf numFmtId="0" fontId="27" fillId="2" borderId="29" xfId="0" applyFont="1" applyFill="1" applyBorder="1" applyAlignment="1">
      <alignment horizontal="center"/>
    </xf>
    <xf numFmtId="166" fontId="28" fillId="3" borderId="40" xfId="0" applyNumberFormat="1" applyFont="1" applyFill="1" applyBorder="1" applyAlignment="1" applyProtection="1">
      <alignment horizontal="center"/>
      <protection locked="0"/>
    </xf>
    <xf numFmtId="2" fontId="27" fillId="2" borderId="40" xfId="0" applyNumberFormat="1" applyFont="1" applyFill="1" applyBorder="1" applyAlignment="1">
      <alignment horizontal="center"/>
    </xf>
    <xf numFmtId="10" fontId="27" fillId="2" borderId="49" xfId="0" applyNumberFormat="1" applyFont="1" applyFill="1" applyBorder="1" applyAlignment="1">
      <alignment horizontal="center"/>
    </xf>
    <xf numFmtId="2" fontId="27" fillId="2" borderId="23" xfId="0" applyNumberFormat="1" applyFont="1" applyFill="1" applyBorder="1" applyAlignment="1">
      <alignment horizontal="center"/>
    </xf>
    <xf numFmtId="170" fontId="27" fillId="2" borderId="2" xfId="0" applyNumberFormat="1" applyFont="1" applyFill="1" applyBorder="1" applyAlignment="1">
      <alignment horizontal="right"/>
    </xf>
    <xf numFmtId="10" fontId="27" fillId="7" borderId="41" xfId="0" applyNumberFormat="1" applyFont="1" applyFill="1" applyBorder="1" applyAlignment="1">
      <alignment horizontal="center"/>
    </xf>
    <xf numFmtId="0" fontId="27" fillId="2" borderId="22" xfId="0" applyFont="1" applyFill="1" applyBorder="1"/>
    <xf numFmtId="0" fontId="27" fillId="2" borderId="6" xfId="0" applyFont="1" applyFill="1" applyBorder="1"/>
    <xf numFmtId="10" fontId="27" fillId="6" borderId="41" xfId="0" applyNumberFormat="1" applyFont="1" applyFill="1" applyBorder="1" applyAlignment="1">
      <alignment horizontal="center"/>
    </xf>
    <xf numFmtId="0" fontId="27" fillId="2" borderId="42" xfId="0" applyFont="1" applyFill="1" applyBorder="1"/>
    <xf numFmtId="0" fontId="27" fillId="2" borderId="43" xfId="0" applyFont="1" applyFill="1" applyBorder="1" applyAlignment="1">
      <alignment horizontal="center"/>
    </xf>
    <xf numFmtId="0" fontId="27" fillId="2" borderId="44" xfId="0" applyFont="1" applyFill="1" applyBorder="1" applyAlignment="1">
      <alignment horizontal="right"/>
    </xf>
    <xf numFmtId="0" fontId="29" fillId="2" borderId="9" xfId="0" applyFont="1" applyFill="1" applyBorder="1" applyAlignment="1">
      <alignment horizontal="left" vertical="center" wrapText="1"/>
    </xf>
    <xf numFmtId="0" fontId="27" fillId="2" borderId="9" xfId="0" applyFont="1" applyFill="1" applyBorder="1"/>
    <xf numFmtId="0" fontId="27" fillId="2" borderId="7" xfId="0" applyFont="1" applyFill="1" applyBorder="1" applyProtection="1">
      <protection locked="0"/>
    </xf>
    <xf numFmtId="0" fontId="27" fillId="2" borderId="7" xfId="0" applyFont="1" applyFill="1" applyBorder="1"/>
    <xf numFmtId="0" fontId="27" fillId="2" borderId="11" xfId="0" applyFont="1" applyFill="1" applyBorder="1" applyProtection="1">
      <protection locked="0"/>
    </xf>
    <xf numFmtId="0" fontId="27" fillId="2" borderId="11" xfId="0" applyFont="1" applyFill="1" applyBorder="1"/>
    <xf numFmtId="0" fontId="1" fillId="2" borderId="10" xfId="0" applyFont="1" applyFill="1" applyBorder="1" applyAlignment="1"/>
    <xf numFmtId="0" fontId="37" fillId="2" borderId="0" xfId="0" applyFont="1" applyFill="1" applyProtection="1">
      <protection locked="0"/>
    </xf>
    <xf numFmtId="0" fontId="37" fillId="2" borderId="0" xfId="0" applyFont="1" applyFill="1" applyAlignment="1" applyProtection="1">
      <alignment horizontal="left"/>
      <protection locked="0"/>
    </xf>
    <xf numFmtId="0" fontId="37" fillId="2" borderId="0" xfId="0" applyFont="1" applyFill="1"/>
    <xf numFmtId="0" fontId="37" fillId="2" borderId="8" xfId="0" applyFont="1" applyFill="1" applyBorder="1"/>
    <xf numFmtId="0" fontId="37" fillId="2" borderId="7" xfId="0" applyFont="1" applyFill="1" applyBorder="1"/>
    <xf numFmtId="0" fontId="37" fillId="2" borderId="5" xfId="0" applyFont="1" applyFill="1" applyBorder="1"/>
    <xf numFmtId="0" fontId="37" fillId="2" borderId="6" xfId="0" applyFont="1" applyFill="1" applyBorder="1"/>
    <xf numFmtId="0" fontId="37" fillId="2" borderId="3" xfId="0" applyFont="1" applyFill="1" applyBorder="1"/>
    <xf numFmtId="0" fontId="37" fillId="2" borderId="4" xfId="0" applyFont="1" applyFill="1" applyBorder="1"/>
    <xf numFmtId="0" fontId="37" fillId="2" borderId="3" xfId="0" applyFont="1" applyFill="1" applyBorder="1" applyAlignment="1">
      <alignment horizontal="center"/>
    </xf>
    <xf numFmtId="0" fontId="38" fillId="2" borderId="0" xfId="0" applyFont="1" applyFill="1"/>
    <xf numFmtId="164" fontId="27" fillId="6" borderId="53" xfId="0" applyNumberFormat="1" applyFont="1" applyFill="1" applyBorder="1" applyAlignment="1">
      <alignment horizontal="center"/>
    </xf>
    <xf numFmtId="164" fontId="27" fillId="6" borderId="46" xfId="0" applyNumberFormat="1" applyFont="1" applyFill="1" applyBorder="1" applyAlignment="1">
      <alignment horizontal="center"/>
    </xf>
    <xf numFmtId="164" fontId="27" fillId="6" borderId="15" xfId="0" applyNumberFormat="1" applyFont="1" applyFill="1" applyBorder="1" applyAlignment="1">
      <alignment horizontal="center"/>
    </xf>
    <xf numFmtId="164" fontId="27" fillId="6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18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justify" vertical="center" wrapText="1"/>
    </xf>
    <xf numFmtId="0" fontId="9" fillId="2" borderId="19" xfId="0" applyFont="1" applyFill="1" applyBorder="1" applyAlignment="1">
      <alignment horizontal="justify" vertical="center" wrapText="1"/>
    </xf>
    <xf numFmtId="0" fontId="9" fillId="2" borderId="20" xfId="0" applyFont="1" applyFill="1" applyBorder="1" applyAlignment="1">
      <alignment horizontal="justify" vertical="center" wrapText="1"/>
    </xf>
    <xf numFmtId="0" fontId="7" fillId="2" borderId="35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7" fillId="2" borderId="47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42" xfId="0" applyFont="1" applyFill="1" applyBorder="1" applyAlignment="1">
      <alignment horizontal="left" vertical="center" wrapText="1"/>
    </xf>
    <xf numFmtId="0" fontId="9" fillId="2" borderId="5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21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18" xfId="0" applyFont="1" applyFill="1" applyBorder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29" fillId="2" borderId="18" xfId="0" applyFont="1" applyFill="1" applyBorder="1" applyAlignment="1">
      <alignment horizontal="left" vertical="center" wrapText="1"/>
    </xf>
    <xf numFmtId="0" fontId="29" fillId="2" borderId="19" xfId="0" applyFont="1" applyFill="1" applyBorder="1" applyAlignment="1">
      <alignment horizontal="left" vertical="center" wrapText="1"/>
    </xf>
    <xf numFmtId="0" fontId="29" fillId="2" borderId="20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9" fillId="2" borderId="18" xfId="0" applyFont="1" applyFill="1" applyBorder="1" applyAlignment="1">
      <alignment horizontal="justify" vertical="center" wrapText="1"/>
    </xf>
    <xf numFmtId="0" fontId="29" fillId="2" borderId="19" xfId="0" applyFont="1" applyFill="1" applyBorder="1" applyAlignment="1">
      <alignment horizontal="justify" vertical="center" wrapText="1"/>
    </xf>
    <xf numFmtId="0" fontId="29" fillId="2" borderId="20" xfId="0" applyFont="1" applyFill="1" applyBorder="1" applyAlignment="1">
      <alignment horizontal="justify" vertical="center" wrapText="1"/>
    </xf>
    <xf numFmtId="0" fontId="27" fillId="2" borderId="35" xfId="0" applyFont="1" applyFill="1" applyBorder="1" applyAlignment="1">
      <alignment horizontal="center"/>
    </xf>
    <xf numFmtId="0" fontId="27" fillId="2" borderId="54" xfId="0" applyFont="1" applyFill="1" applyBorder="1" applyAlignment="1">
      <alignment horizontal="center"/>
    </xf>
    <xf numFmtId="0" fontId="27" fillId="2" borderId="47" xfId="0" applyFont="1" applyFill="1" applyBorder="1" applyAlignment="1">
      <alignment horizontal="center"/>
    </xf>
    <xf numFmtId="0" fontId="29" fillId="2" borderId="21" xfId="0" applyFont="1" applyFill="1" applyBorder="1" applyAlignment="1">
      <alignment horizontal="left" vertical="center" wrapText="1"/>
    </xf>
    <xf numFmtId="0" fontId="29" fillId="2" borderId="10" xfId="0" applyFont="1" applyFill="1" applyBorder="1" applyAlignment="1">
      <alignment horizontal="left" vertical="center" wrapText="1"/>
    </xf>
    <xf numFmtId="0" fontId="29" fillId="2" borderId="42" xfId="0" applyFont="1" applyFill="1" applyBorder="1" applyAlignment="1">
      <alignment horizontal="left" vertical="center" wrapText="1"/>
    </xf>
    <xf numFmtId="0" fontId="29" fillId="2" borderId="9" xfId="0" applyFont="1" applyFill="1" applyBorder="1" applyAlignment="1">
      <alignment horizontal="left" vertical="center" wrapText="1"/>
    </xf>
    <xf numFmtId="0" fontId="29" fillId="2" borderId="21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9" fillId="2" borderId="42" xfId="0" applyFont="1" applyFill="1" applyBorder="1" applyAlignment="1">
      <alignment horizontal="center" vertical="center" wrapText="1"/>
    </xf>
    <xf numFmtId="0" fontId="29" fillId="2" borderId="50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2" fontId="28" fillId="3" borderId="13" xfId="0" applyNumberFormat="1" applyFont="1" applyFill="1" applyBorder="1" applyAlignment="1" applyProtection="1">
      <alignment horizontal="center" vertical="center"/>
      <protection locked="0"/>
    </xf>
    <xf numFmtId="2" fontId="28" fillId="3" borderId="14" xfId="0" applyNumberFormat="1" applyFont="1" applyFill="1" applyBorder="1" applyAlignment="1" applyProtection="1">
      <alignment horizontal="center" vertical="center"/>
      <protection locked="0"/>
    </xf>
    <xf numFmtId="2" fontId="28" fillId="3" borderId="15" xfId="0" applyNumberFormat="1" applyFont="1" applyFill="1" applyBorder="1" applyAlignment="1" applyProtection="1">
      <alignment horizontal="center" vertical="center"/>
      <protection locked="0"/>
    </xf>
    <xf numFmtId="0" fontId="27" fillId="2" borderId="10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left" vertical="center" wrapText="1"/>
    </xf>
    <xf numFmtId="0" fontId="29" fillId="2" borderId="50" xfId="0" applyFont="1" applyFill="1" applyBorder="1" applyAlignment="1">
      <alignment horizontal="left" vertical="center" wrapText="1"/>
    </xf>
    <xf numFmtId="0" fontId="27" fillId="2" borderId="10" xfId="0" applyFont="1" applyFill="1" applyBorder="1" applyAlignment="1">
      <alignment horizontal="center"/>
    </xf>
    <xf numFmtId="0" fontId="27" fillId="2" borderId="42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I76"/>
  <sheetViews>
    <sheetView workbookViewId="0">
      <selection activeCell="F64" sqref="F64"/>
    </sheetView>
  </sheetViews>
  <sheetFormatPr defaultRowHeight="15" x14ac:dyDescent="0.3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105"/>
  </cols>
  <sheetData>
    <row r="8" spans="1:5" ht="18.75" customHeight="1" x14ac:dyDescent="0.3">
      <c r="A8" s="369" t="s">
        <v>0</v>
      </c>
      <c r="B8" s="369"/>
      <c r="C8" s="369"/>
      <c r="D8" s="369"/>
      <c r="E8" s="369"/>
    </row>
    <row r="9" spans="1:5" ht="16.5" customHeight="1" x14ac:dyDescent="0.3">
      <c r="A9" s="30" t="s">
        <v>1</v>
      </c>
      <c r="B9" s="20" t="s">
        <v>2</v>
      </c>
    </row>
    <row r="10" spans="1:5" ht="16.5" customHeight="1" x14ac:dyDescent="0.3">
      <c r="A10" s="2" t="s">
        <v>3</v>
      </c>
      <c r="B10" s="2" t="str">
        <f>'ARTEMETHER '!B18:C18</f>
        <v>MALFAN</v>
      </c>
      <c r="D10" s="3"/>
      <c r="E10" s="24"/>
    </row>
    <row r="11" spans="1:5" ht="16.5" customHeight="1" x14ac:dyDescent="0.3">
      <c r="A11" s="24" t="s">
        <v>4</v>
      </c>
      <c r="B11" s="2" t="str">
        <f>'ARTEMETHER '!B26:C26</f>
        <v>ARTEMETHER</v>
      </c>
      <c r="C11" s="24"/>
      <c r="D11" s="24"/>
      <c r="E11" s="24"/>
    </row>
    <row r="12" spans="1:5" ht="16.5" customHeight="1" x14ac:dyDescent="0.3">
      <c r="A12" s="24" t="s">
        <v>6</v>
      </c>
      <c r="B12" s="4">
        <f>'ARTEMETHER '!B28</f>
        <v>99.8</v>
      </c>
      <c r="C12" s="24"/>
      <c r="D12" s="24"/>
      <c r="E12" s="24"/>
    </row>
    <row r="13" spans="1:5" ht="16.5" customHeight="1" x14ac:dyDescent="0.3">
      <c r="A13" s="2" t="s">
        <v>8</v>
      </c>
      <c r="B13" s="4">
        <f>'ARTEMETHER '!D43</f>
        <v>23.61</v>
      </c>
      <c r="C13" s="24"/>
      <c r="D13" s="24"/>
      <c r="E13" s="24"/>
    </row>
    <row r="14" spans="1:5" ht="16.5" customHeight="1" x14ac:dyDescent="0.3">
      <c r="A14" s="2" t="s">
        <v>10</v>
      </c>
      <c r="B14" s="5">
        <f>'ARTEMETHER '!D46</f>
        <v>0.23562779999999997</v>
      </c>
      <c r="C14" s="24"/>
      <c r="D14" s="24"/>
      <c r="E14" s="24"/>
    </row>
    <row r="15" spans="1:5" ht="15.75" customHeight="1" x14ac:dyDescent="0.3">
      <c r="A15" s="24"/>
      <c r="B15" s="24"/>
      <c r="C15" s="24"/>
      <c r="D15" s="24"/>
      <c r="E15" s="24"/>
    </row>
    <row r="16" spans="1:5" ht="16.5" customHeight="1" x14ac:dyDescent="0.3">
      <c r="A16" s="7" t="s">
        <v>12</v>
      </c>
      <c r="B16" s="6" t="s">
        <v>13</v>
      </c>
      <c r="C16" s="7" t="s">
        <v>14</v>
      </c>
      <c r="D16" s="7" t="s">
        <v>15</v>
      </c>
      <c r="E16" s="7" t="s">
        <v>16</v>
      </c>
    </row>
    <row r="17" spans="1:5" ht="16.5" customHeight="1" x14ac:dyDescent="0.3">
      <c r="A17" s="106">
        <v>1</v>
      </c>
      <c r="B17" s="107">
        <v>2026186</v>
      </c>
      <c r="C17" s="108">
        <v>7004.27</v>
      </c>
      <c r="D17" s="108">
        <v>1.1000000000000001</v>
      </c>
      <c r="E17" s="109">
        <v>4.54</v>
      </c>
    </row>
    <row r="18" spans="1:5" ht="16.5" customHeight="1" x14ac:dyDescent="0.3">
      <c r="A18" s="106">
        <v>2</v>
      </c>
      <c r="B18" s="107">
        <v>2017378</v>
      </c>
      <c r="C18" s="108">
        <v>7048.34</v>
      </c>
      <c r="D18" s="108">
        <v>1.07</v>
      </c>
      <c r="E18" s="108">
        <v>4.55</v>
      </c>
    </row>
    <row r="19" spans="1:5" ht="16.5" customHeight="1" x14ac:dyDescent="0.3">
      <c r="A19" s="106">
        <v>3</v>
      </c>
      <c r="B19" s="107">
        <v>2021715</v>
      </c>
      <c r="C19" s="108">
        <v>7043.38</v>
      </c>
      <c r="D19" s="108">
        <v>1.0900000000000001</v>
      </c>
      <c r="E19" s="108">
        <v>4.55</v>
      </c>
    </row>
    <row r="20" spans="1:5" ht="16.5" customHeight="1" x14ac:dyDescent="0.3">
      <c r="A20" s="106">
        <v>4</v>
      </c>
      <c r="B20" s="107">
        <v>2019065</v>
      </c>
      <c r="C20" s="108">
        <v>7057.42</v>
      </c>
      <c r="D20" s="108">
        <v>1.08</v>
      </c>
      <c r="E20" s="108">
        <v>4.55</v>
      </c>
    </row>
    <row r="21" spans="1:5" ht="16.5" customHeight="1" x14ac:dyDescent="0.3">
      <c r="A21" s="106">
        <v>5</v>
      </c>
      <c r="B21" s="107">
        <v>2019791</v>
      </c>
      <c r="C21" s="108">
        <v>7060.7</v>
      </c>
      <c r="D21" s="108">
        <v>1.08</v>
      </c>
      <c r="E21" s="108">
        <v>4.55</v>
      </c>
    </row>
    <row r="22" spans="1:5" ht="16.5" customHeight="1" x14ac:dyDescent="0.3">
      <c r="A22" s="106">
        <v>6</v>
      </c>
      <c r="B22" s="110">
        <v>2021713</v>
      </c>
      <c r="C22" s="111">
        <v>7039.85</v>
      </c>
      <c r="D22" s="111">
        <v>1.0900000000000001</v>
      </c>
      <c r="E22" s="111">
        <v>4.55</v>
      </c>
    </row>
    <row r="23" spans="1:5" ht="16.5" customHeight="1" x14ac:dyDescent="0.3">
      <c r="A23" s="112" t="s">
        <v>17</v>
      </c>
      <c r="B23" s="8">
        <f>AVERAGE(B17:B22)</f>
        <v>2020974.6666666667</v>
      </c>
      <c r="C23" s="9">
        <f>AVERAGE(C17:C22)</f>
        <v>7042.3266666666668</v>
      </c>
      <c r="D23" s="10">
        <f>AVERAGE(D17:D22)</f>
        <v>1.085</v>
      </c>
      <c r="E23" s="10">
        <f>AVERAGE(E17:E22)</f>
        <v>4.5483333333333338</v>
      </c>
    </row>
    <row r="24" spans="1:5" ht="16.5" customHeight="1" x14ac:dyDescent="0.3">
      <c r="A24" s="113" t="s">
        <v>18</v>
      </c>
      <c r="B24" s="11">
        <f>(STDEV(B17:B22)/B23)</f>
        <v>1.5046662046228933E-3</v>
      </c>
      <c r="C24" s="12"/>
      <c r="D24" s="12"/>
      <c r="E24" s="114"/>
    </row>
    <row r="25" spans="1:5" s="1" customFormat="1" ht="16.5" customHeight="1" x14ac:dyDescent="0.3">
      <c r="A25" s="115" t="s">
        <v>19</v>
      </c>
      <c r="B25" s="13">
        <f>COUNT(B17:B22)</f>
        <v>6</v>
      </c>
      <c r="C25" s="14"/>
      <c r="D25" s="116"/>
      <c r="E25" s="117"/>
    </row>
    <row r="26" spans="1:5" s="1" customFormat="1" ht="15.75" customHeight="1" x14ac:dyDescent="0.3">
      <c r="A26" s="24"/>
      <c r="B26" s="24"/>
      <c r="C26" s="24"/>
      <c r="D26" s="24"/>
      <c r="E26" s="24"/>
    </row>
    <row r="27" spans="1:5" s="1" customFormat="1" ht="16.5" customHeight="1" x14ac:dyDescent="0.3">
      <c r="A27" s="24" t="s">
        <v>20</v>
      </c>
      <c r="B27" s="118" t="s">
        <v>106</v>
      </c>
      <c r="C27" s="119"/>
      <c r="D27" s="119"/>
      <c r="E27" s="119"/>
    </row>
    <row r="28" spans="1:5" ht="16.5" customHeight="1" x14ac:dyDescent="0.3">
      <c r="A28" s="24"/>
      <c r="B28" s="118" t="s">
        <v>107</v>
      </c>
      <c r="C28" s="119"/>
      <c r="D28" s="119"/>
      <c r="E28" s="119"/>
    </row>
    <row r="29" spans="1:5" ht="16.5" customHeight="1" x14ac:dyDescent="0.3">
      <c r="A29" s="24"/>
      <c r="B29" s="118" t="s">
        <v>108</v>
      </c>
      <c r="C29" s="119"/>
      <c r="D29" s="119"/>
      <c r="E29" s="119"/>
    </row>
    <row r="30" spans="1:5" ht="15.75" customHeight="1" x14ac:dyDescent="0.3">
      <c r="A30" s="24"/>
      <c r="B30" s="24"/>
      <c r="C30" s="24"/>
      <c r="D30" s="24"/>
      <c r="E30" s="24"/>
    </row>
    <row r="31" spans="1:5" ht="16.5" customHeight="1" x14ac:dyDescent="0.3">
      <c r="A31" s="30" t="s">
        <v>1</v>
      </c>
      <c r="B31" s="20" t="s">
        <v>21</v>
      </c>
    </row>
    <row r="32" spans="1:5" ht="16.5" customHeight="1" x14ac:dyDescent="0.3">
      <c r="A32" s="24" t="s">
        <v>4</v>
      </c>
      <c r="B32" s="2" t="str">
        <f>'ARTEMETHER '!B80:C80</f>
        <v>ARTEMETHER</v>
      </c>
      <c r="C32" s="24"/>
      <c r="D32" s="24"/>
      <c r="E32" s="24"/>
    </row>
    <row r="33" spans="1:5" ht="16.5" customHeight="1" x14ac:dyDescent="0.3">
      <c r="A33" s="24" t="s">
        <v>6</v>
      </c>
      <c r="B33" s="4">
        <f>'ARTEMETHER '!B82</f>
        <v>99.8</v>
      </c>
      <c r="C33" s="24"/>
      <c r="D33" s="24"/>
      <c r="E33" s="24"/>
    </row>
    <row r="34" spans="1:5" ht="16.5" customHeight="1" x14ac:dyDescent="0.3">
      <c r="A34" s="2" t="s">
        <v>8</v>
      </c>
      <c r="B34" s="4">
        <f>'ARTEMETHER '!D97</f>
        <v>23.92</v>
      </c>
      <c r="C34" s="24"/>
      <c r="D34" s="24"/>
      <c r="E34" s="24"/>
    </row>
    <row r="35" spans="1:5" ht="16.5" customHeight="1" x14ac:dyDescent="0.3">
      <c r="A35" s="2" t="s">
        <v>10</v>
      </c>
      <c r="B35" s="5">
        <f>'ARTEMETHER '!D100</f>
        <v>2.3872159999999996E-2</v>
      </c>
      <c r="C35" s="24"/>
      <c r="D35" s="24"/>
      <c r="E35" s="24"/>
    </row>
    <row r="36" spans="1:5" ht="15.75" customHeight="1" x14ac:dyDescent="0.3">
      <c r="A36" s="24"/>
      <c r="B36" s="24"/>
      <c r="C36" s="24"/>
      <c r="D36" s="24"/>
      <c r="E36" s="24"/>
    </row>
    <row r="37" spans="1:5" ht="16.5" customHeight="1" x14ac:dyDescent="0.3">
      <c r="A37" s="7" t="s">
        <v>12</v>
      </c>
      <c r="B37" s="6" t="s">
        <v>13</v>
      </c>
      <c r="C37" s="7" t="s">
        <v>14</v>
      </c>
      <c r="D37" s="7" t="s">
        <v>15</v>
      </c>
      <c r="E37" s="7" t="s">
        <v>16</v>
      </c>
    </row>
    <row r="38" spans="1:5" ht="16.5" customHeight="1" x14ac:dyDescent="0.3">
      <c r="A38" s="106">
        <v>1</v>
      </c>
      <c r="B38" s="107">
        <v>1567219</v>
      </c>
      <c r="C38" s="107">
        <v>12905.23</v>
      </c>
      <c r="D38" s="108">
        <v>0.98</v>
      </c>
      <c r="E38" s="109">
        <v>9.02</v>
      </c>
    </row>
    <row r="39" spans="1:5" ht="16.5" customHeight="1" x14ac:dyDescent="0.3">
      <c r="A39" s="106">
        <v>2</v>
      </c>
      <c r="B39" s="107">
        <v>1564818</v>
      </c>
      <c r="C39" s="107">
        <v>12730.26</v>
      </c>
      <c r="D39" s="108">
        <v>0.98</v>
      </c>
      <c r="E39" s="108">
        <v>9.02</v>
      </c>
    </row>
    <row r="40" spans="1:5" ht="16.5" customHeight="1" x14ac:dyDescent="0.3">
      <c r="A40" s="106">
        <v>3</v>
      </c>
      <c r="B40" s="107">
        <v>1566946</v>
      </c>
      <c r="C40" s="107">
        <v>12589.65</v>
      </c>
      <c r="D40" s="108">
        <v>0.97</v>
      </c>
      <c r="E40" s="108">
        <v>9.02</v>
      </c>
    </row>
    <row r="41" spans="1:5" ht="16.5" customHeight="1" x14ac:dyDescent="0.3">
      <c r="A41" s="106">
        <v>4</v>
      </c>
      <c r="B41" s="107">
        <v>1566543</v>
      </c>
      <c r="C41" s="107">
        <v>12508.57</v>
      </c>
      <c r="D41" s="108">
        <v>0.97</v>
      </c>
      <c r="E41" s="108">
        <v>9.02</v>
      </c>
    </row>
    <row r="42" spans="1:5" ht="16.5" customHeight="1" x14ac:dyDescent="0.3">
      <c r="A42" s="106">
        <v>5</v>
      </c>
      <c r="B42" s="107">
        <v>1564489</v>
      </c>
      <c r="C42" s="107">
        <v>12388.38</v>
      </c>
      <c r="D42" s="108">
        <v>0.97</v>
      </c>
      <c r="E42" s="108">
        <v>9.02</v>
      </c>
    </row>
    <row r="43" spans="1:5" ht="16.5" customHeight="1" x14ac:dyDescent="0.3">
      <c r="A43" s="106">
        <v>6</v>
      </c>
      <c r="B43" s="110">
        <v>1563373</v>
      </c>
      <c r="C43" s="110">
        <v>12421.91</v>
      </c>
      <c r="D43" s="111">
        <v>0.96</v>
      </c>
      <c r="E43" s="111">
        <v>9.02</v>
      </c>
    </row>
    <row r="44" spans="1:5" ht="16.5" customHeight="1" x14ac:dyDescent="0.3">
      <c r="A44" s="112" t="s">
        <v>17</v>
      </c>
      <c r="B44" s="8">
        <f>AVERAGE(B38:B43)</f>
        <v>1565564.6666666667</v>
      </c>
      <c r="C44" s="9">
        <f>AVERAGE(C38:C43)</f>
        <v>12590.666666666666</v>
      </c>
      <c r="D44" s="10">
        <f>AVERAGE(D38:D43)</f>
        <v>0.97166666666666657</v>
      </c>
      <c r="E44" s="10">
        <f>AVERAGE(E38:E43)</f>
        <v>9.0199999999999978</v>
      </c>
    </row>
    <row r="45" spans="1:5" ht="16.5" customHeight="1" x14ac:dyDescent="0.3">
      <c r="A45" s="113" t="s">
        <v>18</v>
      </c>
      <c r="B45" s="11">
        <f>(STDEV(B38:B43)/B44)</f>
        <v>9.9447864984795542E-4</v>
      </c>
      <c r="C45" s="12"/>
      <c r="D45" s="12"/>
      <c r="E45" s="114"/>
    </row>
    <row r="46" spans="1:5" s="1" customFormat="1" ht="16.5" customHeight="1" x14ac:dyDescent="0.3">
      <c r="A46" s="115" t="s">
        <v>19</v>
      </c>
      <c r="B46" s="13">
        <f>COUNT(B38:B43)</f>
        <v>6</v>
      </c>
      <c r="C46" s="14"/>
      <c r="D46" s="116"/>
      <c r="E46" s="117"/>
    </row>
    <row r="47" spans="1:5" s="1" customFormat="1" ht="15.75" customHeight="1" x14ac:dyDescent="0.3">
      <c r="A47" s="24"/>
      <c r="B47" s="24"/>
      <c r="C47" s="24"/>
      <c r="D47" s="24"/>
      <c r="E47" s="24"/>
    </row>
    <row r="48" spans="1:5" s="1" customFormat="1" ht="16.5" customHeight="1" x14ac:dyDescent="0.3">
      <c r="A48" s="24" t="s">
        <v>20</v>
      </c>
      <c r="B48" s="118" t="s">
        <v>106</v>
      </c>
      <c r="C48" s="119"/>
      <c r="D48" s="119"/>
      <c r="E48" s="119"/>
    </row>
    <row r="49" spans="1:5" ht="16.5" customHeight="1" x14ac:dyDescent="0.3">
      <c r="A49" s="24"/>
      <c r="B49" s="118" t="s">
        <v>107</v>
      </c>
      <c r="C49" s="119"/>
      <c r="D49" s="119"/>
      <c r="E49" s="119"/>
    </row>
    <row r="50" spans="1:5" ht="16.5" customHeight="1" x14ac:dyDescent="0.3">
      <c r="A50" s="24"/>
      <c r="B50" s="118" t="s">
        <v>108</v>
      </c>
      <c r="C50" s="119"/>
      <c r="D50" s="119"/>
      <c r="E50" s="119"/>
    </row>
    <row r="51" spans="1:5" ht="16.5" customHeight="1" x14ac:dyDescent="0.3">
      <c r="A51" s="24"/>
      <c r="B51" s="118"/>
      <c r="C51" s="119"/>
      <c r="D51" s="119"/>
      <c r="E51" s="119"/>
    </row>
    <row r="52" spans="1:5" ht="16.5" customHeight="1" x14ac:dyDescent="0.3">
      <c r="A52" s="30" t="s">
        <v>1</v>
      </c>
      <c r="B52" s="20" t="s">
        <v>2</v>
      </c>
      <c r="C52" s="364"/>
      <c r="D52" s="364"/>
      <c r="E52" s="364"/>
    </row>
    <row r="53" spans="1:5" ht="16.5" customHeight="1" x14ac:dyDescent="0.3">
      <c r="A53" s="2" t="s">
        <v>3</v>
      </c>
      <c r="B53" s="2" t="str">
        <f>SST!B10</f>
        <v>MALFAN</v>
      </c>
      <c r="C53" s="364"/>
      <c r="D53" s="3"/>
      <c r="E53" s="356"/>
    </row>
    <row r="54" spans="1:5" ht="16.5" customHeight="1" x14ac:dyDescent="0.3">
      <c r="A54" s="24" t="s">
        <v>4</v>
      </c>
      <c r="B54" s="105" t="str">
        <f>LUMEFANTRINE!B26</f>
        <v xml:space="preserve">Lumefantrine </v>
      </c>
      <c r="C54" s="356"/>
      <c r="D54" s="356"/>
      <c r="E54" s="356"/>
    </row>
    <row r="55" spans="1:5" ht="16.5" customHeight="1" x14ac:dyDescent="0.3">
      <c r="A55" s="24" t="s">
        <v>6</v>
      </c>
      <c r="B55" s="4">
        <f>LUMEFANTRINE!B30</f>
        <v>100.2</v>
      </c>
      <c r="C55" s="356"/>
      <c r="D55" s="356"/>
      <c r="E55" s="356"/>
    </row>
    <row r="56" spans="1:5" ht="16.5" customHeight="1" x14ac:dyDescent="0.3">
      <c r="A56" s="2" t="s">
        <v>8</v>
      </c>
      <c r="B56" s="4">
        <f>LUMEFANTRINE!D43</f>
        <v>14.52</v>
      </c>
      <c r="C56" s="356"/>
      <c r="D56" s="356"/>
      <c r="E56" s="356"/>
    </row>
    <row r="57" spans="1:5" ht="16.5" customHeight="1" x14ac:dyDescent="0.3">
      <c r="A57" s="2" t="s">
        <v>10</v>
      </c>
      <c r="B57" s="5">
        <f>B56/LUMEFANTRINE!B45</f>
        <v>5.808E-2</v>
      </c>
      <c r="C57" s="356"/>
      <c r="D57" s="356"/>
      <c r="E57" s="356"/>
    </row>
    <row r="58" spans="1:5" ht="16.5" customHeight="1" x14ac:dyDescent="0.3">
      <c r="A58" s="356"/>
      <c r="B58" s="356"/>
      <c r="C58" s="356"/>
      <c r="D58" s="356"/>
      <c r="E58" s="356"/>
    </row>
    <row r="59" spans="1:5" ht="16.5" customHeight="1" x14ac:dyDescent="0.3">
      <c r="A59" s="7" t="s">
        <v>12</v>
      </c>
      <c r="B59" s="6" t="s">
        <v>13</v>
      </c>
      <c r="C59" s="7" t="s">
        <v>14</v>
      </c>
      <c r="D59" s="7" t="s">
        <v>15</v>
      </c>
      <c r="E59" s="7" t="s">
        <v>16</v>
      </c>
    </row>
    <row r="60" spans="1:5" ht="16.5" customHeight="1" x14ac:dyDescent="0.3">
      <c r="A60" s="363">
        <v>1</v>
      </c>
      <c r="B60" s="107">
        <v>7476000</v>
      </c>
      <c r="C60" s="108">
        <v>3926.73</v>
      </c>
      <c r="D60" s="108">
        <v>0.97</v>
      </c>
      <c r="E60" s="109">
        <v>3.8</v>
      </c>
    </row>
    <row r="61" spans="1:5" ht="16.5" customHeight="1" x14ac:dyDescent="0.3">
      <c r="A61" s="363">
        <v>2</v>
      </c>
      <c r="B61" s="107">
        <v>7495659</v>
      </c>
      <c r="C61" s="108">
        <v>3906.2</v>
      </c>
      <c r="D61" s="108">
        <v>0.97</v>
      </c>
      <c r="E61" s="108">
        <v>3.8</v>
      </c>
    </row>
    <row r="62" spans="1:5" ht="16.5" customHeight="1" x14ac:dyDescent="0.3">
      <c r="A62" s="363">
        <v>3</v>
      </c>
      <c r="B62" s="107">
        <v>7500415</v>
      </c>
      <c r="C62" s="108">
        <v>3890.42</v>
      </c>
      <c r="D62" s="108">
        <v>0.96</v>
      </c>
      <c r="E62" s="108">
        <v>3.8</v>
      </c>
    </row>
    <row r="63" spans="1:5" ht="16.5" customHeight="1" x14ac:dyDescent="0.3">
      <c r="A63" s="363">
        <v>4</v>
      </c>
      <c r="B63" s="107">
        <v>7507896</v>
      </c>
      <c r="C63" s="108">
        <v>3900.71</v>
      </c>
      <c r="D63" s="108">
        <v>0.96</v>
      </c>
      <c r="E63" s="108">
        <v>3.8</v>
      </c>
    </row>
    <row r="64" spans="1:5" ht="16.5" customHeight="1" x14ac:dyDescent="0.3">
      <c r="A64" s="363">
        <v>5</v>
      </c>
      <c r="B64" s="107">
        <v>7515115</v>
      </c>
      <c r="C64" s="108">
        <v>3894.7</v>
      </c>
      <c r="D64" s="108">
        <v>0.96</v>
      </c>
      <c r="E64" s="108">
        <v>3.8</v>
      </c>
    </row>
    <row r="65" spans="1:5" ht="16.5" customHeight="1" x14ac:dyDescent="0.3">
      <c r="A65" s="363">
        <v>6</v>
      </c>
      <c r="B65" s="110">
        <v>7507986</v>
      </c>
      <c r="C65" s="111">
        <v>3895.21</v>
      </c>
      <c r="D65" s="111">
        <v>0.98</v>
      </c>
      <c r="E65" s="111">
        <v>3.8</v>
      </c>
    </row>
    <row r="66" spans="1:5" ht="16.5" customHeight="1" x14ac:dyDescent="0.3">
      <c r="A66" s="362" t="s">
        <v>17</v>
      </c>
      <c r="B66" s="8">
        <f>AVERAGE(B60:B65)</f>
        <v>7500511.833333333</v>
      </c>
      <c r="C66" s="10">
        <f>AVERAGE(C60:C65)</f>
        <v>3902.3283333333334</v>
      </c>
      <c r="D66" s="10">
        <f>AVERAGE(D60:D65)</f>
        <v>0.96666666666666679</v>
      </c>
      <c r="E66" s="10">
        <f>AVERAGE(E60:E65)</f>
        <v>3.8000000000000003</v>
      </c>
    </row>
    <row r="67" spans="1:5" ht="16.5" customHeight="1" x14ac:dyDescent="0.3">
      <c r="A67" s="361" t="s">
        <v>18</v>
      </c>
      <c r="B67" s="11">
        <f>(STDEV(B60:B65)/B66)</f>
        <v>1.8358421819301941E-3</v>
      </c>
      <c r="C67" s="12"/>
      <c r="D67" s="12"/>
      <c r="E67" s="360"/>
    </row>
    <row r="68" spans="1:5" ht="16.5" customHeight="1" x14ac:dyDescent="0.3">
      <c r="A68" s="359" t="s">
        <v>19</v>
      </c>
      <c r="B68" s="13">
        <f>COUNT(B60:B65)</f>
        <v>6</v>
      </c>
      <c r="C68" s="14"/>
      <c r="D68" s="358"/>
      <c r="E68" s="357"/>
    </row>
    <row r="69" spans="1:5" ht="16.5" customHeight="1" x14ac:dyDescent="0.3">
      <c r="A69" s="356"/>
      <c r="B69" s="356"/>
      <c r="C69" s="356"/>
      <c r="D69" s="356"/>
      <c r="E69" s="356"/>
    </row>
    <row r="70" spans="1:5" ht="16.5" customHeight="1" x14ac:dyDescent="0.3">
      <c r="A70" s="24" t="s">
        <v>20</v>
      </c>
      <c r="B70" s="355" t="s">
        <v>143</v>
      </c>
      <c r="C70" s="354"/>
      <c r="D70" s="354"/>
      <c r="E70" s="354"/>
    </row>
    <row r="71" spans="1:5" ht="16.5" customHeight="1" x14ac:dyDescent="0.3">
      <c r="A71" s="24"/>
      <c r="B71" s="355" t="s">
        <v>142</v>
      </c>
      <c r="C71" s="354"/>
      <c r="D71" s="354"/>
      <c r="E71" s="354"/>
    </row>
    <row r="72" spans="1:5" ht="16.5" customHeight="1" x14ac:dyDescent="0.3">
      <c r="A72" s="24"/>
      <c r="B72" s="355" t="s">
        <v>141</v>
      </c>
      <c r="C72" s="354"/>
      <c r="D72" s="354"/>
      <c r="E72" s="354"/>
    </row>
    <row r="73" spans="1:5" ht="16.5" customHeight="1" thickBot="1" x14ac:dyDescent="0.35">
      <c r="A73" s="120"/>
      <c r="B73" s="121"/>
      <c r="D73" s="122"/>
    </row>
    <row r="74" spans="1:5" ht="16.5" customHeight="1" x14ac:dyDescent="0.3">
      <c r="B74" s="353" t="s">
        <v>22</v>
      </c>
      <c r="C74" s="103" t="s">
        <v>23</v>
      </c>
      <c r="E74" s="103" t="s">
        <v>24</v>
      </c>
    </row>
    <row r="75" spans="1:5" ht="16.5" customHeight="1" x14ac:dyDescent="0.3">
      <c r="A75" s="15" t="s">
        <v>25</v>
      </c>
      <c r="B75" s="123"/>
      <c r="C75" s="123"/>
      <c r="E75" s="123"/>
    </row>
    <row r="76" spans="1:5" ht="16.5" customHeight="1" x14ac:dyDescent="0.3">
      <c r="A76" s="15" t="s">
        <v>26</v>
      </c>
      <c r="B76" s="16"/>
      <c r="C76" s="16"/>
      <c r="E76" s="16"/>
    </row>
  </sheetData>
  <sheetProtection formatCells="0" formatColumns="0" formatRows="0" insertColumns="0" insertRows="0" insertHyperlinks="0" deleteColumns="0" deleteRows="0" sort="0" autoFilter="0" pivotTables="0"/>
  <mergeCells count="1">
    <mergeCell ref="A8:E8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17" sqref="C1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  <col min="9" max="16384" width="9.140625" style="105"/>
  </cols>
  <sheetData>
    <row r="10" spans="1:7" ht="13.5" customHeight="1" x14ac:dyDescent="0.3"/>
    <row r="11" spans="1:7" ht="13.5" customHeight="1" x14ac:dyDescent="0.3">
      <c r="A11" s="373" t="s">
        <v>27</v>
      </c>
      <c r="B11" s="374"/>
      <c r="C11" s="374"/>
      <c r="D11" s="374"/>
      <c r="E11" s="374"/>
      <c r="F11" s="375"/>
      <c r="G11" s="31"/>
    </row>
    <row r="12" spans="1:7" ht="16.5" customHeight="1" x14ac:dyDescent="0.3">
      <c r="A12" s="372" t="s">
        <v>28</v>
      </c>
      <c r="B12" s="372"/>
      <c r="C12" s="372"/>
      <c r="D12" s="372"/>
      <c r="E12" s="372"/>
      <c r="F12" s="372"/>
      <c r="G12" s="30"/>
    </row>
    <row r="14" spans="1:7" ht="16.5" customHeight="1" x14ac:dyDescent="0.3">
      <c r="A14" s="377" t="s">
        <v>29</v>
      </c>
      <c r="B14" s="377"/>
      <c r="C14" s="24" t="s">
        <v>5</v>
      </c>
    </row>
    <row r="15" spans="1:7" ht="16.5" customHeight="1" x14ac:dyDescent="0.3">
      <c r="A15" s="377" t="s">
        <v>30</v>
      </c>
      <c r="B15" s="377"/>
      <c r="C15" s="24" t="s">
        <v>7</v>
      </c>
    </row>
    <row r="16" spans="1:7" ht="16.5" customHeight="1" x14ac:dyDescent="0.3">
      <c r="A16" s="377" t="s">
        <v>31</v>
      </c>
      <c r="B16" s="377"/>
      <c r="C16" s="24" t="s">
        <v>9</v>
      </c>
    </row>
    <row r="17" spans="1:5" ht="16.5" customHeight="1" x14ac:dyDescent="0.3">
      <c r="A17" s="377" t="s">
        <v>32</v>
      </c>
      <c r="B17" s="377"/>
      <c r="C17" s="24" t="s">
        <v>11</v>
      </c>
    </row>
    <row r="18" spans="1:5" ht="16.5" customHeight="1" x14ac:dyDescent="0.3">
      <c r="A18" s="377" t="s">
        <v>33</v>
      </c>
      <c r="B18" s="377"/>
      <c r="C18" s="124" t="str">
        <f>'ARTEMETHER '!B22</f>
        <v>29th Oct 2015</v>
      </c>
    </row>
    <row r="19" spans="1:5" ht="16.5" customHeight="1" x14ac:dyDescent="0.3">
      <c r="A19" s="377" t="s">
        <v>34</v>
      </c>
      <c r="B19" s="377"/>
      <c r="C19" s="124" t="str">
        <f>'ARTEMETHER '!B23</f>
        <v>4th Dec 2015</v>
      </c>
    </row>
    <row r="20" spans="1:5" ht="16.5" customHeight="1" x14ac:dyDescent="0.3">
      <c r="A20" s="93"/>
      <c r="B20" s="93"/>
      <c r="C20" s="125"/>
    </row>
    <row r="21" spans="1:5" ht="16.5" customHeight="1" x14ac:dyDescent="0.3">
      <c r="A21" s="372" t="s">
        <v>1</v>
      </c>
      <c r="B21" s="372"/>
      <c r="C21" s="20" t="s">
        <v>35</v>
      </c>
      <c r="D21" s="126"/>
    </row>
    <row r="22" spans="1:5" ht="15.75" customHeight="1" x14ac:dyDescent="0.3">
      <c r="A22" s="376"/>
      <c r="B22" s="376"/>
      <c r="C22" s="18"/>
      <c r="D22" s="376"/>
      <c r="E22" s="376"/>
    </row>
    <row r="23" spans="1:5" ht="33.75" customHeight="1" x14ac:dyDescent="0.3">
      <c r="C23" s="29" t="s">
        <v>36</v>
      </c>
      <c r="D23" s="28" t="s">
        <v>37</v>
      </c>
      <c r="E23" s="121"/>
    </row>
    <row r="24" spans="1:5" ht="15.75" customHeight="1" x14ac:dyDescent="0.3">
      <c r="C24" s="127">
        <v>966.29</v>
      </c>
      <c r="D24" s="128">
        <f t="shared" ref="D24:D43" si="0">(C24-$C$46)/$C$46</f>
        <v>2.3042245528444843E-2</v>
      </c>
      <c r="E24" s="129"/>
    </row>
    <row r="25" spans="1:5" ht="15.75" customHeight="1" x14ac:dyDescent="0.3">
      <c r="C25" s="127">
        <v>946.89</v>
      </c>
      <c r="D25" s="130">
        <f t="shared" si="0"/>
        <v>2.50284269570125E-3</v>
      </c>
      <c r="E25" s="129"/>
    </row>
    <row r="26" spans="1:5" ht="15.75" customHeight="1" x14ac:dyDescent="0.3">
      <c r="C26" s="127">
        <v>935.33</v>
      </c>
      <c r="D26" s="130">
        <f t="shared" si="0"/>
        <v>-9.7361004355624153E-3</v>
      </c>
      <c r="E26" s="129"/>
    </row>
    <row r="27" spans="1:5" ht="15.75" customHeight="1" x14ac:dyDescent="0.3">
      <c r="C27" s="127">
        <v>941.64</v>
      </c>
      <c r="D27" s="130">
        <f t="shared" si="0"/>
        <v>-3.055500854396894E-3</v>
      </c>
      <c r="E27" s="129"/>
    </row>
    <row r="28" spans="1:5" ht="15.75" customHeight="1" x14ac:dyDescent="0.3">
      <c r="C28" s="127">
        <v>955.52</v>
      </c>
      <c r="D28" s="130">
        <f t="shared" si="0"/>
        <v>1.1639700759957813E-2</v>
      </c>
      <c r="E28" s="129"/>
    </row>
    <row r="29" spans="1:5" ht="15.75" customHeight="1" x14ac:dyDescent="0.3">
      <c r="C29" s="127">
        <v>948.78</v>
      </c>
      <c r="D29" s="130">
        <f t="shared" si="0"/>
        <v>4.5038463737365675E-3</v>
      </c>
      <c r="E29" s="129"/>
    </row>
    <row r="30" spans="1:5" ht="15.75" customHeight="1" x14ac:dyDescent="0.3">
      <c r="C30" s="127">
        <v>948.22</v>
      </c>
      <c r="D30" s="130">
        <f t="shared" si="0"/>
        <v>3.9109563950594896E-3</v>
      </c>
      <c r="E30" s="129"/>
    </row>
    <row r="31" spans="1:5" ht="15.75" customHeight="1" x14ac:dyDescent="0.3">
      <c r="C31" s="127">
        <v>944.06</v>
      </c>
      <c r="D31" s="130">
        <f t="shared" si="0"/>
        <v>-4.9336916082788813E-4</v>
      </c>
      <c r="E31" s="129"/>
    </row>
    <row r="32" spans="1:5" ht="15.75" customHeight="1" x14ac:dyDescent="0.3">
      <c r="C32" s="127">
        <v>944.34</v>
      </c>
      <c r="D32" s="130">
        <f t="shared" si="0"/>
        <v>-1.9692417148922895E-4</v>
      </c>
      <c r="E32" s="129"/>
    </row>
    <row r="33" spans="1:7" ht="15.75" customHeight="1" x14ac:dyDescent="0.3">
      <c r="C33" s="127">
        <v>941.4</v>
      </c>
      <c r="D33" s="130">
        <f t="shared" si="0"/>
        <v>-3.3095965595442475E-3</v>
      </c>
      <c r="E33" s="129"/>
    </row>
    <row r="34" spans="1:7" ht="15.75" customHeight="1" x14ac:dyDescent="0.3">
      <c r="C34" s="127">
        <v>939.74</v>
      </c>
      <c r="D34" s="130">
        <f t="shared" si="0"/>
        <v>-5.0670918534800082E-3</v>
      </c>
      <c r="E34" s="129"/>
    </row>
    <row r="35" spans="1:7" ht="15.75" customHeight="1" x14ac:dyDescent="0.3">
      <c r="C35" s="127">
        <v>947.51</v>
      </c>
      <c r="D35" s="130">
        <f t="shared" si="0"/>
        <v>3.1592566006652259E-3</v>
      </c>
      <c r="E35" s="129"/>
    </row>
    <row r="36" spans="1:7" ht="15.75" customHeight="1" x14ac:dyDescent="0.3">
      <c r="C36" s="127">
        <v>934.58</v>
      </c>
      <c r="D36" s="130">
        <f t="shared" si="0"/>
        <v>-1.0530149514147864E-2</v>
      </c>
      <c r="E36" s="129"/>
    </row>
    <row r="37" spans="1:7" ht="15.75" customHeight="1" x14ac:dyDescent="0.3">
      <c r="C37" s="127">
        <v>939.22</v>
      </c>
      <c r="D37" s="130">
        <f t="shared" si="0"/>
        <v>-5.6176325479659001E-3</v>
      </c>
      <c r="E37" s="129"/>
    </row>
    <row r="38" spans="1:7" ht="15.75" customHeight="1" x14ac:dyDescent="0.3">
      <c r="C38" s="127">
        <v>939.62</v>
      </c>
      <c r="D38" s="130">
        <f t="shared" si="0"/>
        <v>-5.1941397060536847E-3</v>
      </c>
      <c r="E38" s="129"/>
    </row>
    <row r="39" spans="1:7" ht="15.75" customHeight="1" x14ac:dyDescent="0.3">
      <c r="C39" s="127">
        <v>938.7</v>
      </c>
      <c r="D39" s="130">
        <f t="shared" si="0"/>
        <v>-6.168173242451792E-3</v>
      </c>
      <c r="E39" s="129"/>
    </row>
    <row r="40" spans="1:7" ht="15.75" customHeight="1" x14ac:dyDescent="0.3">
      <c r="C40" s="127">
        <v>935.35</v>
      </c>
      <c r="D40" s="130">
        <f t="shared" si="0"/>
        <v>-9.7149257934668228E-3</v>
      </c>
      <c r="E40" s="129"/>
    </row>
    <row r="41" spans="1:7" ht="15.75" customHeight="1" x14ac:dyDescent="0.3">
      <c r="C41" s="127">
        <v>942.54</v>
      </c>
      <c r="D41" s="130">
        <f t="shared" si="0"/>
        <v>-2.1026419600943791E-3</v>
      </c>
      <c r="E41" s="129"/>
    </row>
    <row r="42" spans="1:7" ht="15.75" customHeight="1" x14ac:dyDescent="0.3">
      <c r="C42" s="127">
        <v>956.22</v>
      </c>
      <c r="D42" s="130">
        <f t="shared" si="0"/>
        <v>1.2380813233304281E-2</v>
      </c>
      <c r="E42" s="129"/>
    </row>
    <row r="43" spans="1:7" ht="16.5" customHeight="1" x14ac:dyDescent="0.3">
      <c r="C43" s="131">
        <v>944.57</v>
      </c>
      <c r="D43" s="132">
        <f t="shared" si="0"/>
        <v>4.6584212610328052E-5</v>
      </c>
      <c r="E43" s="129"/>
    </row>
    <row r="44" spans="1:7" ht="16.5" customHeight="1" x14ac:dyDescent="0.3">
      <c r="C44" s="133"/>
      <c r="D44" s="129"/>
      <c r="E44" s="134"/>
    </row>
    <row r="45" spans="1:7" ht="16.5" customHeight="1" x14ac:dyDescent="0.3">
      <c r="B45" s="135" t="s">
        <v>38</v>
      </c>
      <c r="C45" s="136">
        <f>SUM(C24:C44)</f>
        <v>18890.52</v>
      </c>
      <c r="D45" s="137"/>
      <c r="E45" s="133"/>
    </row>
    <row r="46" spans="1:7" ht="17.25" customHeight="1" x14ac:dyDescent="0.3">
      <c r="B46" s="135" t="s">
        <v>39</v>
      </c>
      <c r="C46" s="27">
        <f>AVERAGE(C24:C44)</f>
        <v>944.52600000000007</v>
      </c>
      <c r="E46" s="17"/>
    </row>
    <row r="47" spans="1:7" ht="17.25" customHeight="1" x14ac:dyDescent="0.3">
      <c r="A47" s="24"/>
      <c r="B47" s="25"/>
      <c r="D47" s="19"/>
      <c r="E47" s="17"/>
    </row>
    <row r="48" spans="1:7" ht="33.75" customHeight="1" x14ac:dyDescent="0.3">
      <c r="B48" s="32" t="s">
        <v>39</v>
      </c>
      <c r="C48" s="28" t="s">
        <v>40</v>
      </c>
      <c r="D48" s="138"/>
      <c r="G48" s="19"/>
    </row>
    <row r="49" spans="1:6" ht="17.25" customHeight="1" x14ac:dyDescent="0.3">
      <c r="B49" s="370">
        <f>C46</f>
        <v>944.52600000000007</v>
      </c>
      <c r="C49" s="33">
        <f>-IF(C46&lt;=80,10%,IF(C46&lt;250,7.5%,5%))</f>
        <v>-0.05</v>
      </c>
      <c r="D49" s="26">
        <f>IF(C46&lt;=80,C46*0.9,IF(C46&lt;250,C46*0.925,C46*0.95))</f>
        <v>897.29970000000003</v>
      </c>
    </row>
    <row r="50" spans="1:6" ht="17.25" customHeight="1" x14ac:dyDescent="0.3">
      <c r="B50" s="371"/>
      <c r="C50" s="34">
        <f>IF(C46&lt;=80, 10%, IF(C46&lt;250, 7.5%, 5%))</f>
        <v>0.05</v>
      </c>
      <c r="D50" s="26">
        <f>IF(C46&lt;=80, C46*1.1, IF(C46&lt;250, C46*1.075, C46*1.05))</f>
        <v>991.7523000000001</v>
      </c>
    </row>
    <row r="51" spans="1:6" ht="16.5" customHeight="1" x14ac:dyDescent="0.3">
      <c r="A51" s="139"/>
      <c r="B51" s="3"/>
      <c r="C51" s="24"/>
      <c r="D51" s="140"/>
      <c r="E51" s="24"/>
      <c r="F51" s="126"/>
    </row>
    <row r="52" spans="1:6" ht="16.5" customHeight="1" x14ac:dyDescent="0.3">
      <c r="A52" s="24"/>
      <c r="B52" s="21" t="s">
        <v>22</v>
      </c>
      <c r="C52" s="21"/>
      <c r="D52" s="22" t="s">
        <v>23</v>
      </c>
      <c r="E52" s="22"/>
      <c r="F52" s="22" t="s">
        <v>24</v>
      </c>
    </row>
    <row r="53" spans="1:6" ht="34.5" customHeight="1" x14ac:dyDescent="0.3">
      <c r="A53" s="93" t="s">
        <v>25</v>
      </c>
      <c r="B53" s="116"/>
      <c r="C53" s="24"/>
      <c r="D53" s="116"/>
      <c r="E53" s="24"/>
      <c r="F53" s="116"/>
    </row>
    <row r="54" spans="1:6" ht="34.5" customHeight="1" x14ac:dyDescent="0.3">
      <c r="A54" s="93" t="s">
        <v>26</v>
      </c>
      <c r="B54" s="23"/>
      <c r="C54" s="24"/>
      <c r="D54" s="23"/>
      <c r="E54" s="24"/>
      <c r="F54" s="2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zoomScale="60" zoomScaleNormal="75" zoomScalePageLayoutView="55" workbookViewId="0">
      <selection activeCell="C20" sqref="C20"/>
    </sheetView>
  </sheetViews>
  <sheetFormatPr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105"/>
  </cols>
  <sheetData>
    <row r="1" spans="1:8" x14ac:dyDescent="0.3">
      <c r="A1" s="406" t="s">
        <v>41</v>
      </c>
      <c r="B1" s="406"/>
      <c r="C1" s="406"/>
      <c r="D1" s="406"/>
      <c r="E1" s="406"/>
      <c r="F1" s="406"/>
      <c r="G1" s="406"/>
      <c r="H1" s="406"/>
    </row>
    <row r="2" spans="1:8" x14ac:dyDescent="0.3">
      <c r="A2" s="406"/>
      <c r="B2" s="406"/>
      <c r="C2" s="406"/>
      <c r="D2" s="406"/>
      <c r="E2" s="406"/>
      <c r="F2" s="406"/>
      <c r="G2" s="406"/>
      <c r="H2" s="406"/>
    </row>
    <row r="3" spans="1:8" x14ac:dyDescent="0.3">
      <c r="A3" s="406"/>
      <c r="B3" s="406"/>
      <c r="C3" s="406"/>
      <c r="D3" s="406"/>
      <c r="E3" s="406"/>
      <c r="F3" s="406"/>
      <c r="G3" s="406"/>
      <c r="H3" s="406"/>
    </row>
    <row r="4" spans="1:8" x14ac:dyDescent="0.3">
      <c r="A4" s="406"/>
      <c r="B4" s="406"/>
      <c r="C4" s="406"/>
      <c r="D4" s="406"/>
      <c r="E4" s="406"/>
      <c r="F4" s="406"/>
      <c r="G4" s="406"/>
      <c r="H4" s="406"/>
    </row>
    <row r="5" spans="1:8" x14ac:dyDescent="0.3">
      <c r="A5" s="406"/>
      <c r="B5" s="406"/>
      <c r="C5" s="406"/>
      <c r="D5" s="406"/>
      <c r="E5" s="406"/>
      <c r="F5" s="406"/>
      <c r="G5" s="406"/>
      <c r="H5" s="406"/>
    </row>
    <row r="6" spans="1:8" x14ac:dyDescent="0.3">
      <c r="A6" s="406"/>
      <c r="B6" s="406"/>
      <c r="C6" s="406"/>
      <c r="D6" s="406"/>
      <c r="E6" s="406"/>
      <c r="F6" s="406"/>
      <c r="G6" s="406"/>
      <c r="H6" s="406"/>
    </row>
    <row r="7" spans="1:8" x14ac:dyDescent="0.3">
      <c r="A7" s="406"/>
      <c r="B7" s="406"/>
      <c r="C7" s="406"/>
      <c r="D7" s="406"/>
      <c r="E7" s="406"/>
      <c r="F7" s="406"/>
      <c r="G7" s="406"/>
      <c r="H7" s="406"/>
    </row>
    <row r="8" spans="1:8" x14ac:dyDescent="0.3">
      <c r="A8" s="407" t="s">
        <v>42</v>
      </c>
      <c r="B8" s="407"/>
      <c r="C8" s="407"/>
      <c r="D8" s="407"/>
      <c r="E8" s="407"/>
      <c r="F8" s="407"/>
      <c r="G8" s="407"/>
      <c r="H8" s="407"/>
    </row>
    <row r="9" spans="1:8" x14ac:dyDescent="0.3">
      <c r="A9" s="407"/>
      <c r="B9" s="407"/>
      <c r="C9" s="407"/>
      <c r="D9" s="407"/>
      <c r="E9" s="407"/>
      <c r="F9" s="407"/>
      <c r="G9" s="407"/>
      <c r="H9" s="407"/>
    </row>
    <row r="10" spans="1:8" x14ac:dyDescent="0.3">
      <c r="A10" s="407"/>
      <c r="B10" s="407"/>
      <c r="C10" s="407"/>
      <c r="D10" s="407"/>
      <c r="E10" s="407"/>
      <c r="F10" s="407"/>
      <c r="G10" s="407"/>
      <c r="H10" s="407"/>
    </row>
    <row r="11" spans="1:8" x14ac:dyDescent="0.3">
      <c r="A11" s="407"/>
      <c r="B11" s="407"/>
      <c r="C11" s="407"/>
      <c r="D11" s="407"/>
      <c r="E11" s="407"/>
      <c r="F11" s="407"/>
      <c r="G11" s="407"/>
      <c r="H11" s="407"/>
    </row>
    <row r="12" spans="1:8" x14ac:dyDescent="0.3">
      <c r="A12" s="407"/>
      <c r="B12" s="407"/>
      <c r="C12" s="407"/>
      <c r="D12" s="407"/>
      <c r="E12" s="407"/>
      <c r="F12" s="407"/>
      <c r="G12" s="407"/>
      <c r="H12" s="407"/>
    </row>
    <row r="13" spans="1:8" x14ac:dyDescent="0.3">
      <c r="A13" s="407"/>
      <c r="B13" s="407"/>
      <c r="C13" s="407"/>
      <c r="D13" s="407"/>
      <c r="E13" s="407"/>
      <c r="F13" s="407"/>
      <c r="G13" s="407"/>
      <c r="H13" s="407"/>
    </row>
    <row r="14" spans="1:8" x14ac:dyDescent="0.3">
      <c r="A14" s="407"/>
      <c r="B14" s="407"/>
      <c r="C14" s="407"/>
      <c r="D14" s="407"/>
      <c r="E14" s="407"/>
      <c r="F14" s="407"/>
      <c r="G14" s="407"/>
      <c r="H14" s="407"/>
    </row>
    <row r="15" spans="1:8" ht="19.5" customHeight="1" x14ac:dyDescent="0.3"/>
    <row r="16" spans="1:8" ht="19.5" customHeight="1" x14ac:dyDescent="0.3">
      <c r="A16" s="408" t="s">
        <v>27</v>
      </c>
      <c r="B16" s="409"/>
      <c r="C16" s="409"/>
      <c r="D16" s="409"/>
      <c r="E16" s="409"/>
      <c r="F16" s="409"/>
      <c r="G16" s="409"/>
      <c r="H16" s="410"/>
    </row>
    <row r="17" spans="1:13" ht="18.75" x14ac:dyDescent="0.3">
      <c r="A17" s="35" t="s">
        <v>43</v>
      </c>
      <c r="B17" s="35"/>
    </row>
    <row r="18" spans="1:13" ht="20.25" x14ac:dyDescent="0.3">
      <c r="A18" s="36" t="s">
        <v>29</v>
      </c>
      <c r="B18" s="412" t="s">
        <v>5</v>
      </c>
      <c r="C18" s="412"/>
      <c r="D18" s="100"/>
      <c r="E18" s="94"/>
    </row>
    <row r="19" spans="1:13" ht="20.25" x14ac:dyDescent="0.3">
      <c r="A19" s="36" t="s">
        <v>30</v>
      </c>
      <c r="B19" s="100" t="s">
        <v>7</v>
      </c>
      <c r="C19" s="141">
        <v>35</v>
      </c>
      <c r="D19" s="141"/>
    </row>
    <row r="20" spans="1:13" ht="20.25" x14ac:dyDescent="0.3">
      <c r="A20" s="36" t="s">
        <v>31</v>
      </c>
      <c r="B20" s="100" t="s">
        <v>9</v>
      </c>
      <c r="C20" s="141"/>
      <c r="D20" s="141"/>
    </row>
    <row r="21" spans="1:13" ht="20.25" x14ac:dyDescent="0.3">
      <c r="A21" s="36" t="s">
        <v>32</v>
      </c>
      <c r="B21" s="142" t="s">
        <v>11</v>
      </c>
      <c r="C21" s="142"/>
      <c r="D21" s="142"/>
      <c r="E21" s="143"/>
      <c r="F21" s="143"/>
      <c r="G21" s="143"/>
      <c r="H21" s="143"/>
    </row>
    <row r="22" spans="1:13" ht="18.75" x14ac:dyDescent="0.3">
      <c r="A22" s="36" t="s">
        <v>33</v>
      </c>
      <c r="B22" s="144" t="s">
        <v>102</v>
      </c>
    </row>
    <row r="23" spans="1:13" ht="18.75" x14ac:dyDescent="0.3">
      <c r="A23" s="36" t="s">
        <v>34</v>
      </c>
      <c r="B23" s="144" t="s">
        <v>103</v>
      </c>
    </row>
    <row r="24" spans="1:13" ht="18.75" x14ac:dyDescent="0.3">
      <c r="A24" s="36"/>
      <c r="B24" s="145"/>
    </row>
    <row r="25" spans="1:13" ht="18.75" x14ac:dyDescent="0.3">
      <c r="A25" s="37" t="s">
        <v>1</v>
      </c>
      <c r="B25" s="145"/>
    </row>
    <row r="26" spans="1:13" ht="26.25" customHeight="1" x14ac:dyDescent="0.4">
      <c r="A26" s="63" t="s">
        <v>4</v>
      </c>
      <c r="B26" s="411" t="s">
        <v>101</v>
      </c>
      <c r="C26" s="411"/>
    </row>
    <row r="27" spans="1:13" ht="26.25" customHeight="1" x14ac:dyDescent="0.4">
      <c r="A27" s="63" t="s">
        <v>44</v>
      </c>
      <c r="B27" s="69" t="s">
        <v>98</v>
      </c>
    </row>
    <row r="28" spans="1:13" ht="27" customHeight="1" x14ac:dyDescent="0.4">
      <c r="A28" s="63" t="s">
        <v>6</v>
      </c>
      <c r="B28" s="69">
        <v>99.8</v>
      </c>
    </row>
    <row r="29" spans="1:13" s="24" customFormat="1" ht="27" customHeight="1" x14ac:dyDescent="0.4">
      <c r="A29" s="63" t="s">
        <v>45</v>
      </c>
      <c r="B29" s="69">
        <v>0</v>
      </c>
      <c r="C29" s="380" t="s">
        <v>46</v>
      </c>
      <c r="D29" s="381"/>
      <c r="E29" s="381"/>
      <c r="F29" s="381"/>
      <c r="G29" s="382"/>
      <c r="I29" s="38"/>
      <c r="J29" s="38"/>
      <c r="K29" s="38"/>
    </row>
    <row r="30" spans="1:13" s="24" customFormat="1" ht="19.5" customHeight="1" x14ac:dyDescent="0.3">
      <c r="A30" s="63" t="s">
        <v>47</v>
      </c>
      <c r="B30" s="97">
        <f>B28-B29</f>
        <v>99.8</v>
      </c>
      <c r="C30" s="146"/>
      <c r="D30" s="146"/>
      <c r="E30" s="146"/>
      <c r="F30" s="146"/>
      <c r="G30" s="147"/>
      <c r="I30" s="38"/>
      <c r="J30" s="38"/>
      <c r="K30" s="38"/>
    </row>
    <row r="31" spans="1:13" s="24" customFormat="1" ht="27" customHeight="1" x14ac:dyDescent="0.4">
      <c r="A31" s="63" t="s">
        <v>48</v>
      </c>
      <c r="B31" s="70">
        <v>1</v>
      </c>
      <c r="C31" s="385" t="s">
        <v>49</v>
      </c>
      <c r="D31" s="386"/>
      <c r="E31" s="386"/>
      <c r="F31" s="386"/>
      <c r="G31" s="386"/>
      <c r="H31" s="387"/>
      <c r="I31" s="38"/>
      <c r="J31" s="38"/>
      <c r="K31" s="38"/>
    </row>
    <row r="32" spans="1:13" s="24" customFormat="1" ht="27" customHeight="1" x14ac:dyDescent="0.4">
      <c r="A32" s="63" t="s">
        <v>50</v>
      </c>
      <c r="B32" s="70">
        <v>1</v>
      </c>
      <c r="C32" s="385" t="s">
        <v>51</v>
      </c>
      <c r="D32" s="386"/>
      <c r="E32" s="386"/>
      <c r="F32" s="386"/>
      <c r="G32" s="386"/>
      <c r="H32" s="387"/>
      <c r="I32" s="38"/>
      <c r="J32" s="38"/>
      <c r="K32" s="40"/>
      <c r="L32" s="40"/>
      <c r="M32" s="148"/>
    </row>
    <row r="33" spans="1:13" s="24" customFormat="1" ht="17.25" customHeight="1" x14ac:dyDescent="0.3">
      <c r="A33" s="63"/>
      <c r="B33" s="39"/>
      <c r="C33" s="41"/>
      <c r="D33" s="41"/>
      <c r="E33" s="41"/>
      <c r="F33" s="41"/>
      <c r="G33" s="41"/>
      <c r="H33" s="41"/>
      <c r="I33" s="38"/>
      <c r="J33" s="38"/>
      <c r="K33" s="40"/>
      <c r="L33" s="40"/>
      <c r="M33" s="148"/>
    </row>
    <row r="34" spans="1:13" s="24" customFormat="1" ht="18.75" x14ac:dyDescent="0.3">
      <c r="A34" s="63" t="s">
        <v>52</v>
      </c>
      <c r="B34" s="42">
        <f>B31/B32</f>
        <v>1</v>
      </c>
      <c r="C34" s="36" t="s">
        <v>53</v>
      </c>
      <c r="D34" s="36"/>
      <c r="E34" s="36"/>
      <c r="F34" s="36"/>
      <c r="G34" s="36"/>
      <c r="I34" s="38"/>
      <c r="J34" s="38"/>
      <c r="K34" s="40"/>
      <c r="L34" s="40"/>
      <c r="M34" s="148"/>
    </row>
    <row r="35" spans="1:13" s="24" customFormat="1" ht="19.5" customHeight="1" x14ac:dyDescent="0.3">
      <c r="A35" s="63"/>
      <c r="B35" s="97"/>
      <c r="G35" s="36"/>
      <c r="I35" s="38"/>
      <c r="J35" s="38"/>
      <c r="K35" s="40"/>
      <c r="L35" s="40"/>
      <c r="M35" s="148"/>
    </row>
    <row r="36" spans="1:13" s="24" customFormat="1" ht="27" customHeight="1" x14ac:dyDescent="0.4">
      <c r="A36" s="149" t="s">
        <v>54</v>
      </c>
      <c r="B36" s="71">
        <v>100</v>
      </c>
      <c r="C36" s="36"/>
      <c r="D36" s="383" t="s">
        <v>55</v>
      </c>
      <c r="E36" s="395"/>
      <c r="F36" s="383" t="s">
        <v>56</v>
      </c>
      <c r="G36" s="384"/>
      <c r="I36" s="38"/>
      <c r="J36" s="38"/>
      <c r="K36" s="40"/>
      <c r="L36" s="40"/>
      <c r="M36" s="148"/>
    </row>
    <row r="37" spans="1:13" s="24" customFormat="1" ht="26.25" customHeight="1" x14ac:dyDescent="0.4">
      <c r="A37" s="150" t="s">
        <v>109</v>
      </c>
      <c r="B37" s="72">
        <v>1</v>
      </c>
      <c r="C37" s="43" t="s">
        <v>57</v>
      </c>
      <c r="D37" s="44" t="s">
        <v>58</v>
      </c>
      <c r="E37" s="60" t="s">
        <v>59</v>
      </c>
      <c r="F37" s="44" t="s">
        <v>58</v>
      </c>
      <c r="G37" s="45" t="s">
        <v>59</v>
      </c>
      <c r="I37" s="38"/>
      <c r="J37" s="38"/>
      <c r="K37" s="40"/>
      <c r="L37" s="40"/>
      <c r="M37" s="148"/>
    </row>
    <row r="38" spans="1:13" s="24" customFormat="1" ht="26.25" customHeight="1" x14ac:dyDescent="0.4">
      <c r="A38" s="150" t="s">
        <v>110</v>
      </c>
      <c r="B38" s="72">
        <v>1</v>
      </c>
      <c r="C38" s="151">
        <v>1</v>
      </c>
      <c r="D38" s="101">
        <v>2006550</v>
      </c>
      <c r="E38" s="152">
        <f>IF(ISBLANK(D38),"-",$D$48/$D$45*D38)</f>
        <v>1703152.1747433878</v>
      </c>
      <c r="F38" s="73">
        <v>1764711</v>
      </c>
      <c r="G38" s="153">
        <f>IF(ISBLANK(F38),"-",$D$48/$F$45*F38)</f>
        <v>1719248.9013028489</v>
      </c>
      <c r="I38" s="38"/>
      <c r="J38" s="38"/>
      <c r="K38" s="40"/>
      <c r="L38" s="40"/>
      <c r="M38" s="148"/>
    </row>
    <row r="39" spans="1:13" s="24" customFormat="1" ht="26.25" customHeight="1" x14ac:dyDescent="0.4">
      <c r="A39" s="150" t="s">
        <v>111</v>
      </c>
      <c r="B39" s="72">
        <v>1</v>
      </c>
      <c r="C39" s="64">
        <v>2</v>
      </c>
      <c r="D39" s="101">
        <v>2015054</v>
      </c>
      <c r="E39" s="154">
        <f>IF(ISBLANK(D39),"-",$D$48/$D$45*D39)</f>
        <v>1710370.3383047334</v>
      </c>
      <c r="F39" s="73">
        <v>1758756</v>
      </c>
      <c r="G39" s="155">
        <f>IF(ISBLANK(F39),"-",$D$48/$F$45*F39)</f>
        <v>1713447.3127100093</v>
      </c>
      <c r="I39" s="38"/>
      <c r="J39" s="38"/>
      <c r="K39" s="40"/>
      <c r="L39" s="40"/>
      <c r="M39" s="148"/>
    </row>
    <row r="40" spans="1:13" ht="26.25" customHeight="1" x14ac:dyDescent="0.4">
      <c r="A40" s="150" t="s">
        <v>112</v>
      </c>
      <c r="B40" s="72">
        <v>1</v>
      </c>
      <c r="C40" s="64">
        <v>3</v>
      </c>
      <c r="D40" s="101">
        <v>2014101</v>
      </c>
      <c r="E40" s="154">
        <f>IF(ISBLANK(D40),"-",$D$48/$D$45*D40)</f>
        <v>1709561.4354503164</v>
      </c>
      <c r="F40" s="73">
        <v>1763067</v>
      </c>
      <c r="G40" s="155">
        <f>IF(ISBLANK(F40),"-",$D$48/$F$45*F40)</f>
        <v>1717647.2536711732</v>
      </c>
      <c r="K40" s="40"/>
      <c r="L40" s="40"/>
      <c r="M40" s="36"/>
    </row>
    <row r="41" spans="1:13" ht="26.25" customHeight="1" x14ac:dyDescent="0.4">
      <c r="A41" s="150" t="s">
        <v>113</v>
      </c>
      <c r="B41" s="72">
        <v>1</v>
      </c>
      <c r="C41" s="156">
        <v>4</v>
      </c>
      <c r="D41" s="75"/>
      <c r="E41" s="157" t="str">
        <f>IF(ISBLANK(D41),"-",$D$48/$D$45*D41)</f>
        <v>-</v>
      </c>
      <c r="F41" s="75"/>
      <c r="G41" s="158" t="str">
        <f>IF(ISBLANK(F41),"-",$D$48/$F$45*F41)</f>
        <v>-</v>
      </c>
      <c r="K41" s="40"/>
      <c r="L41" s="40"/>
      <c r="M41" s="36"/>
    </row>
    <row r="42" spans="1:13" ht="27" customHeight="1" thickBot="1" x14ac:dyDescent="0.45">
      <c r="A42" s="150" t="s">
        <v>114</v>
      </c>
      <c r="B42" s="72">
        <v>1</v>
      </c>
      <c r="C42" s="159" t="s">
        <v>60</v>
      </c>
      <c r="D42" s="46">
        <f>AVERAGE(D38:D41)</f>
        <v>2011901.6666666667</v>
      </c>
      <c r="E42" s="51">
        <f>AVERAGE(E38:E41)</f>
        <v>1707694.649499479</v>
      </c>
      <c r="F42" s="46">
        <f>AVERAGE(F38:F41)</f>
        <v>1762178</v>
      </c>
      <c r="G42" s="47">
        <f>AVERAGE(G38:G41)</f>
        <v>1716781.1558946772</v>
      </c>
      <c r="H42" s="121"/>
    </row>
    <row r="43" spans="1:13" ht="26.25" customHeight="1" x14ac:dyDescent="0.4">
      <c r="A43" s="150" t="s">
        <v>115</v>
      </c>
      <c r="B43" s="69">
        <v>1</v>
      </c>
      <c r="C43" s="160" t="s">
        <v>61</v>
      </c>
      <c r="D43" s="77">
        <v>23.61</v>
      </c>
      <c r="E43" s="36"/>
      <c r="F43" s="77">
        <v>20.57</v>
      </c>
      <c r="H43" s="121"/>
    </row>
    <row r="44" spans="1:13" ht="26.25" customHeight="1" x14ac:dyDescent="0.4">
      <c r="A44" s="150" t="s">
        <v>116</v>
      </c>
      <c r="B44" s="69">
        <v>1</v>
      </c>
      <c r="C44" s="161" t="s">
        <v>62</v>
      </c>
      <c r="D44" s="162">
        <f>D43*$B$34</f>
        <v>23.61</v>
      </c>
      <c r="E44" s="97"/>
      <c r="F44" s="163">
        <f>F43*$B$34</f>
        <v>20.57</v>
      </c>
      <c r="H44" s="121"/>
    </row>
    <row r="45" spans="1:13" ht="19.5" customHeight="1" x14ac:dyDescent="0.3">
      <c r="A45" s="150" t="s">
        <v>63</v>
      </c>
      <c r="B45" s="97">
        <f>(B44/B43)*(B42/B41)*(B40/B39)*(B38/B37)*B36</f>
        <v>100</v>
      </c>
      <c r="C45" s="161" t="s">
        <v>64</v>
      </c>
      <c r="D45" s="164">
        <f>D44*$B$30/100</f>
        <v>23.562779999999997</v>
      </c>
      <c r="E45" s="39"/>
      <c r="F45" s="165">
        <f>F44*$B$30/100</f>
        <v>20.528859999999998</v>
      </c>
      <c r="H45" s="121"/>
    </row>
    <row r="46" spans="1:13" ht="19.5" customHeight="1" x14ac:dyDescent="0.3">
      <c r="A46" s="396" t="s">
        <v>65</v>
      </c>
      <c r="B46" s="400"/>
      <c r="C46" s="161" t="s">
        <v>66</v>
      </c>
      <c r="D46" s="162">
        <f>D45/$B$45</f>
        <v>0.23562779999999997</v>
      </c>
      <c r="E46" s="39"/>
      <c r="F46" s="166">
        <f>F45/$B$45</f>
        <v>0.20528859999999999</v>
      </c>
      <c r="H46" s="121"/>
    </row>
    <row r="47" spans="1:13" ht="27" customHeight="1" x14ac:dyDescent="0.4">
      <c r="A47" s="398"/>
      <c r="B47" s="401"/>
      <c r="C47" s="161" t="s">
        <v>67</v>
      </c>
      <c r="D47" s="78">
        <v>0.2</v>
      </c>
      <c r="F47" s="167"/>
      <c r="H47" s="121"/>
    </row>
    <row r="48" spans="1:13" ht="18.75" x14ac:dyDescent="0.3">
      <c r="C48" s="161" t="s">
        <v>68</v>
      </c>
      <c r="D48" s="162">
        <f>D47*$B$45</f>
        <v>20</v>
      </c>
      <c r="F48" s="167"/>
      <c r="H48" s="121"/>
    </row>
    <row r="49" spans="1:11" ht="19.5" customHeight="1" x14ac:dyDescent="0.3">
      <c r="C49" s="168" t="s">
        <v>69</v>
      </c>
      <c r="D49" s="169">
        <f>D48/B34</f>
        <v>20</v>
      </c>
      <c r="F49" s="58"/>
      <c r="H49" s="121"/>
    </row>
    <row r="50" spans="1:11" ht="18.75" x14ac:dyDescent="0.3">
      <c r="C50" s="170" t="s">
        <v>70</v>
      </c>
      <c r="D50" s="65">
        <f>AVERAGE(E38:E41,G38:G41)</f>
        <v>1712237.902697078</v>
      </c>
      <c r="F50" s="58"/>
      <c r="H50" s="121"/>
    </row>
    <row r="51" spans="1:11" ht="18.75" x14ac:dyDescent="0.3">
      <c r="C51" s="171" t="s">
        <v>71</v>
      </c>
      <c r="D51" s="53">
        <f>STDEV(E38:E41,G38:G41)/D50</f>
        <v>3.4361633811425514E-3</v>
      </c>
      <c r="F51" s="58"/>
    </row>
    <row r="52" spans="1:11" ht="19.5" customHeight="1" x14ac:dyDescent="0.3">
      <c r="C52" s="172" t="s">
        <v>19</v>
      </c>
      <c r="D52" s="54">
        <f>COUNT(E38:E41,G38:G41)</f>
        <v>6</v>
      </c>
      <c r="F52" s="58"/>
    </row>
    <row r="54" spans="1:11" ht="18.75" x14ac:dyDescent="0.3">
      <c r="A54" s="35" t="s">
        <v>1</v>
      </c>
      <c r="B54" s="48" t="s">
        <v>72</v>
      </c>
    </row>
    <row r="55" spans="1:11" ht="18.75" x14ac:dyDescent="0.3">
      <c r="A55" s="36" t="s">
        <v>73</v>
      </c>
      <c r="B55" s="48" t="str">
        <f>B21</f>
        <v>Each uncoated caplet contains:
Artemether 80 mg
Lumefantrine 480 mg</v>
      </c>
    </row>
    <row r="56" spans="1:11" ht="26.25" customHeight="1" x14ac:dyDescent="0.4">
      <c r="A56" s="48" t="s">
        <v>74</v>
      </c>
      <c r="B56" s="69">
        <v>80</v>
      </c>
      <c r="C56" s="36" t="str">
        <f>B20</f>
        <v>Artemether 80mg, Lumefantrine 480mg</v>
      </c>
      <c r="H56" s="97"/>
    </row>
    <row r="57" spans="1:11" ht="18.75" x14ac:dyDescent="0.3">
      <c r="A57" s="48" t="s">
        <v>75</v>
      </c>
      <c r="B57" s="92">
        <f>Uniformity!C46</f>
        <v>944.52600000000007</v>
      </c>
      <c r="H57" s="97"/>
    </row>
    <row r="58" spans="1:11" ht="19.5" customHeight="1" x14ac:dyDescent="0.3">
      <c r="H58" s="97"/>
    </row>
    <row r="59" spans="1:11" s="24" customFormat="1" ht="27" customHeight="1" thickBot="1" x14ac:dyDescent="0.45">
      <c r="A59" s="149" t="s">
        <v>76</v>
      </c>
      <c r="B59" s="71">
        <v>100</v>
      </c>
      <c r="C59" s="36"/>
      <c r="D59" s="50" t="s">
        <v>77</v>
      </c>
      <c r="E59" s="49" t="s">
        <v>78</v>
      </c>
      <c r="F59" s="49" t="s">
        <v>58</v>
      </c>
      <c r="G59" s="49" t="s">
        <v>79</v>
      </c>
      <c r="H59" s="43" t="s">
        <v>80</v>
      </c>
      <c r="K59" s="38"/>
    </row>
    <row r="60" spans="1:11" s="24" customFormat="1" ht="22.5" customHeight="1" x14ac:dyDescent="0.4">
      <c r="A60" s="150" t="s">
        <v>117</v>
      </c>
      <c r="B60" s="72">
        <v>1</v>
      </c>
      <c r="C60" s="388" t="s">
        <v>81</v>
      </c>
      <c r="D60" s="392">
        <v>232.72</v>
      </c>
      <c r="E60" s="49">
        <v>1</v>
      </c>
      <c r="F60" s="79">
        <v>1724088</v>
      </c>
      <c r="G60" s="173">
        <f>IF(ISBLANK(F60),"-",(F60/$D$50*$D$47*$B$68)*($B$57/$D$60))</f>
        <v>81.734522024953975</v>
      </c>
      <c r="H60" s="174">
        <f t="shared" ref="H60:H71" si="0">IF(ISBLANK(F60),"-",G60/$B$56)</f>
        <v>1.0216815253119247</v>
      </c>
      <c r="K60" s="38"/>
    </row>
    <row r="61" spans="1:11" s="24" customFormat="1" ht="26.25" customHeight="1" x14ac:dyDescent="0.4">
      <c r="A61" s="150" t="s">
        <v>118</v>
      </c>
      <c r="B61" s="72">
        <v>1</v>
      </c>
      <c r="C61" s="389"/>
      <c r="D61" s="393"/>
      <c r="E61" s="175">
        <v>2</v>
      </c>
      <c r="F61" s="74">
        <v>1718666</v>
      </c>
      <c r="G61" s="176">
        <f>IF(ISBLANK(F61),"-",(F61/$D$50*$D$47*$B$68)*($B$57/$D$60))</f>
        <v>81.477479125508424</v>
      </c>
      <c r="H61" s="177">
        <f t="shared" si="0"/>
        <v>1.0184684890688553</v>
      </c>
      <c r="K61" s="38"/>
    </row>
    <row r="62" spans="1:11" s="24" customFormat="1" ht="26.25" customHeight="1" x14ac:dyDescent="0.4">
      <c r="A62" s="150" t="s">
        <v>119</v>
      </c>
      <c r="B62" s="72">
        <v>1</v>
      </c>
      <c r="C62" s="389"/>
      <c r="D62" s="393"/>
      <c r="E62" s="175">
        <v>3</v>
      </c>
      <c r="F62" s="102">
        <v>1734626</v>
      </c>
      <c r="G62" s="176">
        <f>IF(ISBLANK(F62),"-",(F62/$D$50*$D$47*$B$68)*($B$57/$D$60))</f>
        <v>82.234101160763146</v>
      </c>
      <c r="H62" s="177">
        <f t="shared" si="0"/>
        <v>1.0279262645095393</v>
      </c>
      <c r="K62" s="38"/>
    </row>
    <row r="63" spans="1:11" ht="21" customHeight="1" thickBot="1" x14ac:dyDescent="0.45">
      <c r="A63" s="150" t="s">
        <v>120</v>
      </c>
      <c r="B63" s="72">
        <v>1</v>
      </c>
      <c r="C63" s="390"/>
      <c r="D63" s="394"/>
      <c r="E63" s="178">
        <v>4</v>
      </c>
      <c r="F63" s="80"/>
      <c r="G63" s="176" t="str">
        <f>IF(ISBLANK(F63),"-",(F63/$D$50*$D$47*$B$68)*($B$57/$D$60))</f>
        <v>-</v>
      </c>
      <c r="H63" s="177" t="str">
        <f t="shared" si="0"/>
        <v>-</v>
      </c>
    </row>
    <row r="64" spans="1:11" ht="26.25" customHeight="1" x14ac:dyDescent="0.4">
      <c r="A64" s="150" t="s">
        <v>121</v>
      </c>
      <c r="B64" s="72">
        <v>1</v>
      </c>
      <c r="C64" s="388" t="s">
        <v>82</v>
      </c>
      <c r="D64" s="392">
        <v>241.48</v>
      </c>
      <c r="E64" s="49">
        <v>1</v>
      </c>
      <c r="F64" s="79">
        <v>1829338</v>
      </c>
      <c r="G64" s="50">
        <f>IF(ISBLANK(F64),"-",(F64/$D$50*$D$47*$B$68)*($B$57/$D$64))</f>
        <v>83.578119455508002</v>
      </c>
      <c r="H64" s="179">
        <f t="shared" si="0"/>
        <v>1.04472649319385</v>
      </c>
    </row>
    <row r="65" spans="1:8" ht="26.25" customHeight="1" x14ac:dyDescent="0.4">
      <c r="A65" s="150" t="s">
        <v>122</v>
      </c>
      <c r="B65" s="72">
        <v>1</v>
      </c>
      <c r="C65" s="389"/>
      <c r="D65" s="393"/>
      <c r="E65" s="175">
        <v>2</v>
      </c>
      <c r="F65" s="74">
        <v>1818962</v>
      </c>
      <c r="G65" s="180">
        <f>IF(ISBLANK(F65),"-",(F65/$D$50*$D$47*$B$68)*($B$57/$D$64))</f>
        <v>83.10406459660804</v>
      </c>
      <c r="H65" s="181">
        <f t="shared" si="0"/>
        <v>1.0388008074576005</v>
      </c>
    </row>
    <row r="66" spans="1:8" ht="26.25" customHeight="1" x14ac:dyDescent="0.4">
      <c r="A66" s="150" t="s">
        <v>123</v>
      </c>
      <c r="B66" s="72">
        <v>1</v>
      </c>
      <c r="C66" s="389"/>
      <c r="D66" s="393"/>
      <c r="E66" s="175">
        <v>3</v>
      </c>
      <c r="F66" s="74">
        <v>1816630</v>
      </c>
      <c r="G66" s="180">
        <f>IF(ISBLANK(F66),"-",(F66/$D$50*$D$47*$B$68)*($B$57/$D$64))</f>
        <v>82.997521041196038</v>
      </c>
      <c r="H66" s="181">
        <f t="shared" si="0"/>
        <v>1.0374690130149504</v>
      </c>
    </row>
    <row r="67" spans="1:8" ht="21" customHeight="1" thickBot="1" x14ac:dyDescent="0.45">
      <c r="A67" s="150" t="s">
        <v>124</v>
      </c>
      <c r="B67" s="72">
        <v>1</v>
      </c>
      <c r="C67" s="390"/>
      <c r="D67" s="394"/>
      <c r="E67" s="178">
        <v>4</v>
      </c>
      <c r="F67" s="80"/>
      <c r="G67" s="182" t="str">
        <f>IF(ISBLANK(F67),"-",(F67/$D$50*$D$47*$B$68)*($B$57/$D$64))</f>
        <v>-</v>
      </c>
      <c r="H67" s="183" t="str">
        <f t="shared" si="0"/>
        <v>-</v>
      </c>
    </row>
    <row r="68" spans="1:8" ht="21.75" customHeight="1" x14ac:dyDescent="0.4">
      <c r="A68" s="150" t="s">
        <v>83</v>
      </c>
      <c r="B68" s="64">
        <f>(B67/B66)*(B65/B64)*(B63/B62)*(B61/B60)*B59</f>
        <v>100</v>
      </c>
      <c r="C68" s="388" t="s">
        <v>84</v>
      </c>
      <c r="D68" s="392">
        <v>236.65</v>
      </c>
      <c r="E68" s="49">
        <v>1</v>
      </c>
      <c r="F68" s="79">
        <v>1799189</v>
      </c>
      <c r="G68" s="50">
        <f>IF(ISBLANK(F68),"-",(F68/$D$50*$D$47*$B$68)*($B$57/$D$68))</f>
        <v>83.878389806163256</v>
      </c>
      <c r="H68" s="177">
        <f t="shared" si="0"/>
        <v>1.0484798725770408</v>
      </c>
    </row>
    <row r="69" spans="1:8" ht="21.75" customHeight="1" thickBot="1" x14ac:dyDescent="0.45">
      <c r="A69" s="184" t="s">
        <v>85</v>
      </c>
      <c r="B69" s="185">
        <f>D47*B68/B56*B57</f>
        <v>236.13150000000002</v>
      </c>
      <c r="C69" s="389"/>
      <c r="D69" s="393"/>
      <c r="E69" s="175">
        <v>2</v>
      </c>
      <c r="F69" s="74">
        <v>1801368</v>
      </c>
      <c r="G69" s="180">
        <f>IF(ISBLANK(F69),"-",(F69/$D$50*$D$47*$B$68)*($B$57/$D$68))</f>
        <v>83.979975026719643</v>
      </c>
      <c r="H69" s="177">
        <f t="shared" si="0"/>
        <v>1.0497496878339956</v>
      </c>
    </row>
    <row r="70" spans="1:8" ht="22.5" customHeight="1" x14ac:dyDescent="0.4">
      <c r="A70" s="402" t="s">
        <v>65</v>
      </c>
      <c r="B70" s="403"/>
      <c r="C70" s="389"/>
      <c r="D70" s="393"/>
      <c r="E70" s="175">
        <v>3</v>
      </c>
      <c r="F70" s="74">
        <v>1805852</v>
      </c>
      <c r="G70" s="180">
        <f>IF(ISBLANK(F70),"-",(F70/$D$50*$D$47*$B$68)*($B$57/$D$68))</f>
        <v>84.189019601742515</v>
      </c>
      <c r="H70" s="177">
        <f t="shared" si="0"/>
        <v>1.0523627450217814</v>
      </c>
    </row>
    <row r="71" spans="1:8" ht="21.75" customHeight="1" thickBot="1" x14ac:dyDescent="0.45">
      <c r="A71" s="404"/>
      <c r="B71" s="405"/>
      <c r="C71" s="391"/>
      <c r="D71" s="394"/>
      <c r="E71" s="178">
        <v>4</v>
      </c>
      <c r="F71" s="80"/>
      <c r="G71" s="182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97"/>
      <c r="B72" s="97"/>
      <c r="C72" s="97"/>
      <c r="D72" s="97"/>
      <c r="E72" s="97"/>
      <c r="F72" s="97"/>
      <c r="G72" s="187" t="s">
        <v>60</v>
      </c>
      <c r="H72" s="81">
        <f>AVERAGE(H60:H71)</f>
        <v>1.0377405442210599</v>
      </c>
    </row>
    <row r="73" spans="1:8" ht="26.25" customHeight="1" x14ac:dyDescent="0.4">
      <c r="C73" s="97"/>
      <c r="D73" s="97"/>
      <c r="E73" s="97"/>
      <c r="F73" s="97"/>
      <c r="G73" s="171" t="s">
        <v>71</v>
      </c>
      <c r="H73" s="82">
        <f>STDEV(H60:H71)/H72</f>
        <v>1.2040518815144979E-2</v>
      </c>
    </row>
    <row r="74" spans="1:8" ht="27" customHeight="1" x14ac:dyDescent="0.4">
      <c r="A74" s="97"/>
      <c r="B74" s="97"/>
      <c r="C74" s="97"/>
      <c r="D74" s="97"/>
      <c r="E74" s="39"/>
      <c r="F74" s="97"/>
      <c r="G74" s="172" t="s">
        <v>19</v>
      </c>
      <c r="H74" s="83">
        <f>COUNT(H60:H71)</f>
        <v>9</v>
      </c>
    </row>
    <row r="75" spans="1:8" ht="18.75" x14ac:dyDescent="0.3">
      <c r="A75" s="97"/>
      <c r="B75" s="97"/>
      <c r="C75" s="97"/>
      <c r="D75" s="97"/>
      <c r="E75" s="39"/>
      <c r="F75" s="97"/>
      <c r="G75" s="63"/>
      <c r="H75" s="97"/>
    </row>
    <row r="76" spans="1:8" ht="18.75" x14ac:dyDescent="0.3">
      <c r="A76" s="63" t="s">
        <v>86</v>
      </c>
      <c r="B76" s="63" t="s">
        <v>87</v>
      </c>
      <c r="C76" s="378" t="str">
        <f>B20</f>
        <v>Artemether 80mg, Lumefantrine 480mg</v>
      </c>
      <c r="D76" s="378"/>
      <c r="E76" s="36" t="s">
        <v>99</v>
      </c>
      <c r="F76" s="36"/>
      <c r="G76" s="68">
        <f>H72</f>
        <v>1.0377405442210599</v>
      </c>
      <c r="H76" s="97"/>
    </row>
    <row r="77" spans="1:8" ht="18.75" x14ac:dyDescent="0.3">
      <c r="A77" s="97"/>
      <c r="B77" s="97"/>
      <c r="C77" s="97"/>
      <c r="D77" s="97"/>
      <c r="E77" s="39"/>
      <c r="F77" s="97"/>
      <c r="G77" s="63"/>
      <c r="H77" s="97"/>
    </row>
    <row r="78" spans="1:8" ht="26.25" customHeight="1" x14ac:dyDescent="0.4">
      <c r="A78" s="37" t="s">
        <v>89</v>
      </c>
      <c r="B78" s="37" t="s">
        <v>90</v>
      </c>
      <c r="D78" s="87" t="s">
        <v>91</v>
      </c>
    </row>
    <row r="79" spans="1:8" ht="18.75" x14ac:dyDescent="0.3">
      <c r="A79" s="37"/>
      <c r="B79" s="37"/>
    </row>
    <row r="80" spans="1:8" ht="26.25" customHeight="1" x14ac:dyDescent="0.4">
      <c r="A80" s="63" t="s">
        <v>4</v>
      </c>
      <c r="B80" s="411" t="str">
        <f>B26</f>
        <v>ARTEMETHER</v>
      </c>
      <c r="C80" s="411"/>
    </row>
    <row r="81" spans="1:11" ht="26.25" customHeight="1" x14ac:dyDescent="0.4">
      <c r="A81" s="63" t="s">
        <v>44</v>
      </c>
      <c r="B81" s="69" t="str">
        <f>B27</f>
        <v>F0J018</v>
      </c>
    </row>
    <row r="82" spans="1:11" ht="27" customHeight="1" x14ac:dyDescent="0.4">
      <c r="A82" s="63" t="s">
        <v>6</v>
      </c>
      <c r="B82" s="69">
        <f>B28</f>
        <v>99.8</v>
      </c>
    </row>
    <row r="83" spans="1:11" s="24" customFormat="1" ht="27" customHeight="1" x14ac:dyDescent="0.4">
      <c r="A83" s="63" t="s">
        <v>45</v>
      </c>
      <c r="B83" s="69">
        <f>B29</f>
        <v>0</v>
      </c>
      <c r="C83" s="380" t="s">
        <v>46</v>
      </c>
      <c r="D83" s="381"/>
      <c r="E83" s="381"/>
      <c r="F83" s="381"/>
      <c r="G83" s="382"/>
      <c r="I83" s="38"/>
      <c r="J83" s="38"/>
      <c r="K83" s="38"/>
    </row>
    <row r="84" spans="1:11" s="24" customFormat="1" ht="19.5" customHeight="1" x14ac:dyDescent="0.3">
      <c r="A84" s="63" t="s">
        <v>47</v>
      </c>
      <c r="B84" s="97">
        <f>B82-B83</f>
        <v>99.8</v>
      </c>
      <c r="C84" s="146"/>
      <c r="D84" s="146"/>
      <c r="E84" s="146"/>
      <c r="F84" s="146"/>
      <c r="G84" s="147"/>
      <c r="I84" s="38"/>
      <c r="J84" s="38"/>
      <c r="K84" s="38"/>
    </row>
    <row r="85" spans="1:11" s="24" customFormat="1" ht="27" customHeight="1" x14ac:dyDescent="0.4">
      <c r="A85" s="63" t="s">
        <v>48</v>
      </c>
      <c r="B85" s="70">
        <v>1</v>
      </c>
      <c r="C85" s="385" t="s">
        <v>49</v>
      </c>
      <c r="D85" s="386"/>
      <c r="E85" s="386"/>
      <c r="F85" s="386"/>
      <c r="G85" s="386"/>
      <c r="H85" s="387"/>
      <c r="I85" s="38"/>
      <c r="J85" s="38"/>
      <c r="K85" s="38"/>
    </row>
    <row r="86" spans="1:11" s="24" customFormat="1" ht="27" customHeight="1" x14ac:dyDescent="0.4">
      <c r="A86" s="63" t="s">
        <v>50</v>
      </c>
      <c r="B86" s="70">
        <v>1</v>
      </c>
      <c r="C86" s="385" t="s">
        <v>51</v>
      </c>
      <c r="D86" s="386"/>
      <c r="E86" s="386"/>
      <c r="F86" s="386"/>
      <c r="G86" s="386"/>
      <c r="H86" s="387"/>
      <c r="I86" s="38"/>
      <c r="J86" s="38"/>
      <c r="K86" s="38"/>
    </row>
    <row r="87" spans="1:11" s="24" customFormat="1" ht="18.75" x14ac:dyDescent="0.3">
      <c r="A87" s="63"/>
      <c r="B87" s="97"/>
      <c r="C87" s="146"/>
      <c r="D87" s="146"/>
      <c r="E87" s="146"/>
      <c r="F87" s="146"/>
      <c r="G87" s="147"/>
      <c r="I87" s="38"/>
      <c r="J87" s="38"/>
      <c r="K87" s="38"/>
    </row>
    <row r="88" spans="1:11" s="24" customFormat="1" ht="18.75" x14ac:dyDescent="0.3">
      <c r="A88" s="63" t="s">
        <v>52</v>
      </c>
      <c r="B88" s="42">
        <f>B85/B86</f>
        <v>1</v>
      </c>
      <c r="C88" s="36" t="s">
        <v>53</v>
      </c>
      <c r="D88" s="146"/>
      <c r="E88" s="146"/>
      <c r="F88" s="146"/>
      <c r="G88" s="147"/>
      <c r="I88" s="38"/>
      <c r="J88" s="38"/>
      <c r="K88" s="38"/>
    </row>
    <row r="89" spans="1:11" ht="19.5" customHeight="1" x14ac:dyDescent="0.3">
      <c r="A89" s="37"/>
      <c r="B89" s="37"/>
    </row>
    <row r="90" spans="1:11" ht="27" customHeight="1" x14ac:dyDescent="0.4">
      <c r="A90" s="149" t="s">
        <v>54</v>
      </c>
      <c r="B90" s="71">
        <v>100</v>
      </c>
      <c r="D90" s="95" t="s">
        <v>55</v>
      </c>
      <c r="E90" s="99"/>
      <c r="F90" s="383" t="s">
        <v>56</v>
      </c>
      <c r="G90" s="384"/>
    </row>
    <row r="91" spans="1:11" ht="26.25" customHeight="1" x14ac:dyDescent="0.4">
      <c r="A91" s="150" t="s">
        <v>109</v>
      </c>
      <c r="B91" s="72">
        <v>10</v>
      </c>
      <c r="C91" s="98" t="s">
        <v>57</v>
      </c>
      <c r="D91" s="44" t="s">
        <v>58</v>
      </c>
      <c r="E91" s="60" t="s">
        <v>59</v>
      </c>
      <c r="F91" s="44" t="s">
        <v>58</v>
      </c>
      <c r="G91" s="45" t="s">
        <v>59</v>
      </c>
    </row>
    <row r="92" spans="1:11" ht="26.25" customHeight="1" x14ac:dyDescent="0.4">
      <c r="A92" s="150" t="s">
        <v>110</v>
      </c>
      <c r="B92" s="72">
        <v>100</v>
      </c>
      <c r="C92" s="188">
        <v>1</v>
      </c>
      <c r="D92" s="73">
        <v>1591675</v>
      </c>
      <c r="E92" s="152">
        <f>IF(ISBLANK(D92),"-",$D$102/$D$99*D92)</f>
        <v>1066799.1501397446</v>
      </c>
      <c r="F92" s="73">
        <v>1387513</v>
      </c>
      <c r="G92" s="153">
        <f>IF(ISBLANK(F92),"-",$D$102/$F$99*F92)</f>
        <v>1059775.9597327102</v>
      </c>
    </row>
    <row r="93" spans="1:11" ht="26.25" customHeight="1" x14ac:dyDescent="0.4">
      <c r="A93" s="150" t="s">
        <v>111</v>
      </c>
      <c r="B93" s="72">
        <v>1</v>
      </c>
      <c r="C93" s="97">
        <v>2</v>
      </c>
      <c r="D93" s="74">
        <v>1585029</v>
      </c>
      <c r="E93" s="154">
        <f>IF(ISBLANK(D93),"-",$D$102/$D$99*D93)</f>
        <v>1062344.7564024371</v>
      </c>
      <c r="F93" s="74">
        <v>1383775</v>
      </c>
      <c r="G93" s="155">
        <f>IF(ISBLANK(F93),"-",$D$102/$F$99*F93)</f>
        <v>1056920.8927621802</v>
      </c>
    </row>
    <row r="94" spans="1:11" ht="26.25" customHeight="1" x14ac:dyDescent="0.4">
      <c r="A94" s="150" t="s">
        <v>112</v>
      </c>
      <c r="B94" s="72">
        <v>1</v>
      </c>
      <c r="C94" s="97">
        <v>3</v>
      </c>
      <c r="D94" s="74">
        <v>1583369</v>
      </c>
      <c r="E94" s="154">
        <f>IF(ISBLANK(D94),"-",$D$102/$D$99*D94)</f>
        <v>1061232.1633233023</v>
      </c>
      <c r="F94" s="74">
        <v>1383653</v>
      </c>
      <c r="G94" s="155">
        <f>IF(ISBLANK(F94),"-",$D$102/$F$99*F94)</f>
        <v>1056827.7097310391</v>
      </c>
    </row>
    <row r="95" spans="1:11" ht="26.25" customHeight="1" x14ac:dyDescent="0.4">
      <c r="A95" s="150" t="s">
        <v>113</v>
      </c>
      <c r="B95" s="72">
        <v>1</v>
      </c>
      <c r="C95" s="189">
        <v>4</v>
      </c>
      <c r="D95" s="75"/>
      <c r="E95" s="157" t="str">
        <f>IF(ISBLANK(D95),"-",$D$102/$D$99*D95)</f>
        <v>-</v>
      </c>
      <c r="F95" s="84"/>
      <c r="G95" s="158" t="str">
        <f>IF(ISBLANK(F95),"-",$D$102/$F$99*F95)</f>
        <v>-</v>
      </c>
    </row>
    <row r="96" spans="1:11" ht="27" customHeight="1" x14ac:dyDescent="0.4">
      <c r="A96" s="150" t="s">
        <v>114</v>
      </c>
      <c r="B96" s="72">
        <v>1</v>
      </c>
      <c r="C96" s="63" t="s">
        <v>60</v>
      </c>
      <c r="D96" s="66">
        <f>AVERAGE(D92:D95)</f>
        <v>1586691</v>
      </c>
      <c r="E96" s="51">
        <f>AVERAGE(E92:E95)</f>
        <v>1063458.6899551614</v>
      </c>
      <c r="F96" s="59">
        <f>AVERAGE(F92:F95)</f>
        <v>1384980.3333333333</v>
      </c>
      <c r="G96" s="61">
        <f>AVERAGE(G92:G95)</f>
        <v>1057841.5207419766</v>
      </c>
    </row>
    <row r="97" spans="1:9" ht="26.25" customHeight="1" x14ac:dyDescent="0.4">
      <c r="A97" s="150" t="s">
        <v>115</v>
      </c>
      <c r="B97" s="69">
        <v>1</v>
      </c>
      <c r="C97" s="160" t="s">
        <v>61</v>
      </c>
      <c r="D97" s="76">
        <v>23.92</v>
      </c>
      <c r="E97" s="36"/>
      <c r="F97" s="77">
        <v>20.99</v>
      </c>
    </row>
    <row r="98" spans="1:9" ht="26.25" customHeight="1" x14ac:dyDescent="0.4">
      <c r="A98" s="150" t="s">
        <v>116</v>
      </c>
      <c r="B98" s="69">
        <v>1</v>
      </c>
      <c r="C98" s="161" t="s">
        <v>62</v>
      </c>
      <c r="D98" s="162">
        <f>D97*B88</f>
        <v>23.92</v>
      </c>
      <c r="E98" s="97"/>
      <c r="F98" s="163">
        <f>F97*B88</f>
        <v>20.99</v>
      </c>
    </row>
    <row r="99" spans="1:9" ht="19.5" customHeight="1" x14ac:dyDescent="0.3">
      <c r="A99" s="150" t="s">
        <v>63</v>
      </c>
      <c r="B99" s="97">
        <f>(B98/B97)*(B96/B95)*(B94/B93)*(B92/B91)*B90</f>
        <v>1000</v>
      </c>
      <c r="C99" s="161" t="s">
        <v>64</v>
      </c>
      <c r="D99" s="164">
        <f>D98*$B$84/100</f>
        <v>23.872159999999997</v>
      </c>
      <c r="E99" s="39"/>
      <c r="F99" s="165">
        <f>F98*$B$84/100</f>
        <v>20.948019999999996</v>
      </c>
    </row>
    <row r="100" spans="1:9" ht="19.5" customHeight="1" x14ac:dyDescent="0.3">
      <c r="A100" s="396" t="s">
        <v>65</v>
      </c>
      <c r="B100" s="400"/>
      <c r="C100" s="161" t="s">
        <v>66</v>
      </c>
      <c r="D100" s="162">
        <f>D99/$B$99</f>
        <v>2.3872159999999996E-2</v>
      </c>
      <c r="E100" s="39"/>
      <c r="F100" s="166">
        <f>F99/$B$99</f>
        <v>2.0948019999999998E-2</v>
      </c>
      <c r="H100" s="121"/>
    </row>
    <row r="101" spans="1:9" ht="19.5" customHeight="1" x14ac:dyDescent="0.3">
      <c r="A101" s="398"/>
      <c r="B101" s="401"/>
      <c r="C101" s="161" t="s">
        <v>67</v>
      </c>
      <c r="D101" s="164">
        <f>$B$56/$B$117</f>
        <v>1.6E-2</v>
      </c>
      <c r="F101" s="167"/>
      <c r="G101" s="190"/>
      <c r="H101" s="121"/>
    </row>
    <row r="102" spans="1:9" ht="18.75" x14ac:dyDescent="0.3">
      <c r="C102" s="161" t="s">
        <v>68</v>
      </c>
      <c r="D102" s="162">
        <f>D101*$B$99</f>
        <v>16</v>
      </c>
      <c r="F102" s="167"/>
      <c r="H102" s="121"/>
    </row>
    <row r="103" spans="1:9" ht="19.5" customHeight="1" x14ac:dyDescent="0.3">
      <c r="C103" s="168" t="s">
        <v>69</v>
      </c>
      <c r="D103" s="169">
        <f>D102/B34</f>
        <v>16</v>
      </c>
      <c r="F103" s="58"/>
      <c r="G103" s="18"/>
      <c r="H103" s="121"/>
      <c r="I103" s="52"/>
    </row>
    <row r="104" spans="1:9" ht="18.75" x14ac:dyDescent="0.3">
      <c r="C104" s="170" t="s">
        <v>100</v>
      </c>
      <c r="D104" s="65">
        <f>AVERAGE(E92:E95,G92:G95)</f>
        <v>1060650.1053485691</v>
      </c>
      <c r="F104" s="58"/>
      <c r="G104" s="104"/>
      <c r="H104" s="121"/>
      <c r="I104" s="191"/>
    </row>
    <row r="105" spans="1:9" ht="18.75" x14ac:dyDescent="0.3">
      <c r="C105" s="171" t="s">
        <v>71</v>
      </c>
      <c r="D105" s="53">
        <f>STDEV(E92:E95,G92:G95)/D104</f>
        <v>3.5353349130577087E-3</v>
      </c>
      <c r="F105" s="58"/>
      <c r="H105" s="121"/>
      <c r="I105" s="191"/>
    </row>
    <row r="106" spans="1:9" ht="19.5" customHeight="1" x14ac:dyDescent="0.3">
      <c r="C106" s="172" t="s">
        <v>19</v>
      </c>
      <c r="D106" s="54">
        <f>COUNT(E92:E95,G92:G95)</f>
        <v>6</v>
      </c>
      <c r="F106" s="58"/>
      <c r="H106" s="121"/>
      <c r="I106" s="191"/>
    </row>
    <row r="107" spans="1:9" ht="19.5" customHeight="1" x14ac:dyDescent="0.3">
      <c r="A107" s="35"/>
      <c r="B107" s="35"/>
      <c r="C107" s="35"/>
      <c r="D107" s="35"/>
      <c r="E107" s="35"/>
    </row>
    <row r="108" spans="1:9" ht="26.25" customHeight="1" x14ac:dyDescent="0.4">
      <c r="A108" s="149" t="s">
        <v>92</v>
      </c>
      <c r="B108" s="71">
        <v>1000</v>
      </c>
      <c r="C108" s="95" t="s">
        <v>93</v>
      </c>
      <c r="D108" s="55" t="s">
        <v>58</v>
      </c>
      <c r="E108" s="56" t="s">
        <v>94</v>
      </c>
      <c r="F108" s="57" t="s">
        <v>95</v>
      </c>
    </row>
    <row r="109" spans="1:9" ht="26.25" customHeight="1" x14ac:dyDescent="0.4">
      <c r="A109" s="150" t="s">
        <v>117</v>
      </c>
      <c r="B109" s="72">
        <v>4</v>
      </c>
      <c r="C109" s="192">
        <v>1</v>
      </c>
      <c r="D109" s="85">
        <v>604735</v>
      </c>
      <c r="E109" s="193">
        <f t="shared" ref="E109:E114" si="1">IF(ISBLANK(D109),"-",D109/$D$104*$D$101*$B$117)</f>
        <v>45.612402955544823</v>
      </c>
      <c r="F109" s="194">
        <f t="shared" ref="F109:F114" si="2">IF(ISBLANK(D109), "-", E109/$B$56)</f>
        <v>0.57015503694431025</v>
      </c>
    </row>
    <row r="110" spans="1:9" ht="26.25" customHeight="1" x14ac:dyDescent="0.4">
      <c r="A110" s="150" t="s">
        <v>118</v>
      </c>
      <c r="B110" s="72">
        <v>20</v>
      </c>
      <c r="C110" s="192">
        <v>2</v>
      </c>
      <c r="D110" s="85">
        <v>596652</v>
      </c>
      <c r="E110" s="195">
        <f t="shared" si="1"/>
        <v>45.002739130746079</v>
      </c>
      <c r="F110" s="196">
        <f t="shared" si="2"/>
        <v>0.56253423913432599</v>
      </c>
    </row>
    <row r="111" spans="1:9" ht="26.25" customHeight="1" x14ac:dyDescent="0.4">
      <c r="A111" s="150" t="s">
        <v>119</v>
      </c>
      <c r="B111" s="72">
        <v>1</v>
      </c>
      <c r="C111" s="192">
        <v>3</v>
      </c>
      <c r="D111" s="85">
        <v>579178</v>
      </c>
      <c r="E111" s="195">
        <f t="shared" si="1"/>
        <v>43.684755006716223</v>
      </c>
      <c r="F111" s="196">
        <f t="shared" si="2"/>
        <v>0.54605943758395281</v>
      </c>
    </row>
    <row r="112" spans="1:9" ht="26.25" customHeight="1" x14ac:dyDescent="0.4">
      <c r="A112" s="150" t="s">
        <v>120</v>
      </c>
      <c r="B112" s="72">
        <v>1</v>
      </c>
      <c r="C112" s="192">
        <v>4</v>
      </c>
      <c r="D112" s="85">
        <v>632780</v>
      </c>
      <c r="E112" s="195">
        <f t="shared" si="1"/>
        <v>47.727709397024562</v>
      </c>
      <c r="F112" s="196">
        <f t="shared" si="2"/>
        <v>0.59659636746280698</v>
      </c>
    </row>
    <row r="113" spans="1:9" ht="26.25" customHeight="1" x14ac:dyDescent="0.4">
      <c r="A113" s="150" t="s">
        <v>121</v>
      </c>
      <c r="B113" s="72">
        <v>1</v>
      </c>
      <c r="C113" s="192">
        <v>5</v>
      </c>
      <c r="D113" s="85">
        <v>623582</v>
      </c>
      <c r="E113" s="195">
        <f t="shared" si="1"/>
        <v>47.033946207552987</v>
      </c>
      <c r="F113" s="196">
        <f t="shared" si="2"/>
        <v>0.58792432759441238</v>
      </c>
    </row>
    <row r="114" spans="1:9" ht="26.25" customHeight="1" x14ac:dyDescent="0.4">
      <c r="A114" s="150" t="s">
        <v>122</v>
      </c>
      <c r="B114" s="72">
        <v>1</v>
      </c>
      <c r="C114" s="197">
        <v>6</v>
      </c>
      <c r="D114" s="86">
        <v>612597</v>
      </c>
      <c r="E114" s="198">
        <f t="shared" si="1"/>
        <v>46.205397758287333</v>
      </c>
      <c r="F114" s="199">
        <f t="shared" si="2"/>
        <v>0.57756747197859171</v>
      </c>
    </row>
    <row r="115" spans="1:9" ht="26.25" customHeight="1" x14ac:dyDescent="0.4">
      <c r="A115" s="150" t="s">
        <v>123</v>
      </c>
      <c r="B115" s="72">
        <v>1</v>
      </c>
      <c r="C115" s="192"/>
      <c r="D115" s="97"/>
      <c r="E115" s="36"/>
      <c r="F115" s="200"/>
    </row>
    <row r="116" spans="1:9" ht="26.25" customHeight="1" x14ac:dyDescent="0.4">
      <c r="A116" s="150" t="s">
        <v>124</v>
      </c>
      <c r="B116" s="72">
        <v>1</v>
      </c>
      <c r="C116" s="192"/>
      <c r="D116" s="58"/>
      <c r="E116" s="201" t="s">
        <v>60</v>
      </c>
      <c r="F116" s="88">
        <f>AVERAGE(F109:F114)</f>
        <v>0.57347281344973322</v>
      </c>
    </row>
    <row r="117" spans="1:9" ht="27" customHeight="1" x14ac:dyDescent="0.4">
      <c r="A117" s="150" t="s">
        <v>83</v>
      </c>
      <c r="B117" s="64">
        <f>(B116/B115)*(B114/B113)*(B112/B111)*(B110/B109)*B108</f>
        <v>5000</v>
      </c>
      <c r="C117" s="202"/>
      <c r="D117" s="203"/>
      <c r="E117" s="63" t="s">
        <v>71</v>
      </c>
      <c r="F117" s="89">
        <f>STDEV(F109:F114)/F116</f>
        <v>3.1604589572368717E-2</v>
      </c>
    </row>
    <row r="118" spans="1:9" ht="27" customHeight="1" x14ac:dyDescent="0.4">
      <c r="A118" s="396" t="s">
        <v>65</v>
      </c>
      <c r="B118" s="397"/>
      <c r="C118" s="204"/>
      <c r="D118" s="205"/>
      <c r="E118" s="206" t="s">
        <v>19</v>
      </c>
      <c r="F118" s="90">
        <f>COUNT(F109:F114)</f>
        <v>6</v>
      </c>
      <c r="I118" s="191"/>
    </row>
    <row r="119" spans="1:9" ht="19.5" customHeight="1" x14ac:dyDescent="0.3">
      <c r="A119" s="398"/>
      <c r="B119" s="399"/>
      <c r="C119" s="36"/>
      <c r="D119" s="36"/>
      <c r="E119" s="36"/>
      <c r="F119" s="97"/>
      <c r="G119" s="36"/>
      <c r="H119" s="36"/>
    </row>
    <row r="120" spans="1:9" ht="18.75" x14ac:dyDescent="0.3">
      <c r="A120" s="41"/>
      <c r="B120" s="41"/>
      <c r="C120" s="36"/>
      <c r="D120" s="36"/>
      <c r="E120" s="36"/>
      <c r="F120" s="97"/>
      <c r="G120" s="36"/>
      <c r="H120" s="36"/>
    </row>
    <row r="121" spans="1:9" ht="26.25" customHeight="1" x14ac:dyDescent="0.4">
      <c r="A121" s="63" t="s">
        <v>86</v>
      </c>
      <c r="B121" s="63" t="s">
        <v>87</v>
      </c>
      <c r="C121" s="378" t="str">
        <f>B20</f>
        <v>Artemether 80mg, Lumefantrine 480mg</v>
      </c>
      <c r="D121" s="378"/>
      <c r="E121" s="36" t="s">
        <v>96</v>
      </c>
      <c r="F121" s="36"/>
      <c r="G121" s="91">
        <f>F116</f>
        <v>0.57347281344973322</v>
      </c>
      <c r="H121" s="36"/>
    </row>
    <row r="122" spans="1:9" ht="18.75" x14ac:dyDescent="0.3">
      <c r="A122" s="41"/>
      <c r="B122" s="41"/>
      <c r="C122" s="36"/>
      <c r="D122" s="36"/>
      <c r="E122" s="36"/>
      <c r="F122" s="97"/>
      <c r="G122" s="36"/>
      <c r="H122" s="36"/>
    </row>
    <row r="123" spans="1:9" ht="26.25" customHeight="1" x14ac:dyDescent="0.4">
      <c r="A123" s="37" t="s">
        <v>89</v>
      </c>
      <c r="B123" s="37" t="s">
        <v>90</v>
      </c>
      <c r="D123" s="87" t="s">
        <v>97</v>
      </c>
    </row>
    <row r="124" spans="1:9" ht="19.5" customHeight="1" x14ac:dyDescent="0.3">
      <c r="A124" s="35"/>
      <c r="B124" s="35"/>
      <c r="C124" s="35"/>
      <c r="D124" s="35"/>
      <c r="E124" s="35"/>
    </row>
    <row r="125" spans="1:9" ht="26.25" customHeight="1" x14ac:dyDescent="0.4">
      <c r="A125" s="149" t="s">
        <v>92</v>
      </c>
      <c r="B125" s="71">
        <v>1000</v>
      </c>
      <c r="C125" s="95" t="s">
        <v>93</v>
      </c>
      <c r="D125" s="55" t="s">
        <v>58</v>
      </c>
      <c r="E125" s="56" t="s">
        <v>94</v>
      </c>
      <c r="F125" s="57" t="s">
        <v>95</v>
      </c>
    </row>
    <row r="126" spans="1:9" ht="26.25" customHeight="1" x14ac:dyDescent="0.4">
      <c r="A126" s="150" t="s">
        <v>117</v>
      </c>
      <c r="B126" s="72">
        <v>4</v>
      </c>
      <c r="C126" s="192">
        <v>1</v>
      </c>
      <c r="D126" s="85">
        <v>932792</v>
      </c>
      <c r="E126" s="207">
        <f t="shared" ref="E126:E131" si="3">IF(ISBLANK(D126),"-",D126/$D$104*$D$101*$B$134)</f>
        <v>70.356246252835646</v>
      </c>
      <c r="F126" s="208">
        <f t="shared" ref="F126:F131" si="4">IF(ISBLANK(D126), "-", E126/$B$56)</f>
        <v>0.8794530781604456</v>
      </c>
    </row>
    <row r="127" spans="1:9" ht="26.25" customHeight="1" x14ac:dyDescent="0.4">
      <c r="A127" s="150" t="s">
        <v>118</v>
      </c>
      <c r="B127" s="72">
        <v>20</v>
      </c>
      <c r="C127" s="192">
        <v>2</v>
      </c>
      <c r="D127" s="85">
        <v>976155</v>
      </c>
      <c r="E127" s="209">
        <f t="shared" si="3"/>
        <v>73.626919571498021</v>
      </c>
      <c r="F127" s="210">
        <f t="shared" si="4"/>
        <v>0.92033649464372524</v>
      </c>
    </row>
    <row r="128" spans="1:9" ht="26.25" customHeight="1" x14ac:dyDescent="0.4">
      <c r="A128" s="150" t="s">
        <v>119</v>
      </c>
      <c r="B128" s="72">
        <v>1</v>
      </c>
      <c r="C128" s="192">
        <v>3</v>
      </c>
      <c r="D128" s="85">
        <v>966101</v>
      </c>
      <c r="E128" s="209">
        <f t="shared" si="3"/>
        <v>72.868592206098214</v>
      </c>
      <c r="F128" s="210">
        <f t="shared" si="4"/>
        <v>0.91085740257622771</v>
      </c>
    </row>
    <row r="129" spans="1:9" ht="26.25" customHeight="1" x14ac:dyDescent="0.4">
      <c r="A129" s="150" t="s">
        <v>120</v>
      </c>
      <c r="B129" s="72">
        <v>1</v>
      </c>
      <c r="C129" s="192">
        <v>4</v>
      </c>
      <c r="D129" s="85">
        <v>999950</v>
      </c>
      <c r="E129" s="209">
        <f t="shared" si="3"/>
        <v>75.421667896511778</v>
      </c>
      <c r="F129" s="210">
        <f t="shared" si="4"/>
        <v>0.94277084870639727</v>
      </c>
    </row>
    <row r="130" spans="1:9" ht="26.25" customHeight="1" x14ac:dyDescent="0.4">
      <c r="A130" s="150" t="s">
        <v>121</v>
      </c>
      <c r="B130" s="72">
        <v>1</v>
      </c>
      <c r="C130" s="192">
        <v>5</v>
      </c>
      <c r="D130" s="85">
        <v>1048383</v>
      </c>
      <c r="E130" s="209">
        <f t="shared" si="3"/>
        <v>79.074748191758289</v>
      </c>
      <c r="F130" s="210">
        <f t="shared" si="4"/>
        <v>0.98843435239697863</v>
      </c>
    </row>
    <row r="131" spans="1:9" ht="26.25" customHeight="1" x14ac:dyDescent="0.4">
      <c r="A131" s="150" t="s">
        <v>122</v>
      </c>
      <c r="B131" s="72">
        <v>1</v>
      </c>
      <c r="C131" s="197">
        <v>6</v>
      </c>
      <c r="D131" s="86">
        <v>997349</v>
      </c>
      <c r="E131" s="211">
        <f t="shared" si="3"/>
        <v>75.225486329234585</v>
      </c>
      <c r="F131" s="212">
        <f t="shared" si="4"/>
        <v>0.94031857911543226</v>
      </c>
    </row>
    <row r="132" spans="1:9" ht="26.25" customHeight="1" x14ac:dyDescent="0.4">
      <c r="A132" s="150" t="s">
        <v>123</v>
      </c>
      <c r="B132" s="72">
        <v>1</v>
      </c>
      <c r="C132" s="192"/>
      <c r="D132" s="97"/>
      <c r="E132" s="36"/>
      <c r="F132" s="200"/>
    </row>
    <row r="133" spans="1:9" ht="26.25" customHeight="1" x14ac:dyDescent="0.4">
      <c r="A133" s="150" t="s">
        <v>124</v>
      </c>
      <c r="B133" s="72">
        <v>1</v>
      </c>
      <c r="C133" s="192"/>
      <c r="D133" s="58"/>
      <c r="E133" s="201" t="s">
        <v>60</v>
      </c>
      <c r="F133" s="88">
        <f>AVERAGE(F126:F131)</f>
        <v>0.93036179259986784</v>
      </c>
    </row>
    <row r="134" spans="1:9" ht="27" customHeight="1" x14ac:dyDescent="0.4">
      <c r="A134" s="150" t="s">
        <v>83</v>
      </c>
      <c r="B134" s="213">
        <f>(B133/B132)*(B131/B130)*(B129/B128)*(B127/B126)*B125</f>
        <v>5000</v>
      </c>
      <c r="C134" s="202"/>
      <c r="D134" s="203"/>
      <c r="E134" s="63" t="s">
        <v>71</v>
      </c>
      <c r="F134" s="89">
        <f>STDEV(F126:F131)/F133</f>
        <v>3.93406198117634E-2</v>
      </c>
    </row>
    <row r="135" spans="1:9" ht="27" customHeight="1" x14ac:dyDescent="0.4">
      <c r="A135" s="396" t="s">
        <v>65</v>
      </c>
      <c r="B135" s="397"/>
      <c r="C135" s="204"/>
      <c r="D135" s="205"/>
      <c r="E135" s="206" t="s">
        <v>19</v>
      </c>
      <c r="F135" s="90">
        <f>COUNT(F126:F131)</f>
        <v>6</v>
      </c>
      <c r="I135" s="191"/>
    </row>
    <row r="136" spans="1:9" ht="19.5" customHeight="1" x14ac:dyDescent="0.3">
      <c r="A136" s="398"/>
      <c r="B136" s="399"/>
      <c r="C136" s="36"/>
      <c r="D136" s="36"/>
      <c r="E136" s="36"/>
      <c r="F136" s="97"/>
      <c r="G136" s="36"/>
      <c r="H136" s="36"/>
    </row>
    <row r="137" spans="1:9" ht="18.75" x14ac:dyDescent="0.3">
      <c r="A137" s="41"/>
      <c r="B137" s="41"/>
      <c r="C137" s="36"/>
      <c r="D137" s="36"/>
      <c r="E137" s="36"/>
      <c r="F137" s="97"/>
      <c r="G137" s="36"/>
      <c r="H137" s="36"/>
    </row>
    <row r="138" spans="1:9" ht="26.25" customHeight="1" x14ac:dyDescent="0.4">
      <c r="A138" s="63" t="s">
        <v>86</v>
      </c>
      <c r="B138" s="63" t="s">
        <v>87</v>
      </c>
      <c r="C138" s="378" t="str">
        <f>B20</f>
        <v>Artemether 80mg, Lumefantrine 480mg</v>
      </c>
      <c r="D138" s="378"/>
      <c r="E138" s="36" t="s">
        <v>96</v>
      </c>
      <c r="F138" s="36"/>
      <c r="G138" s="91">
        <f>F133</f>
        <v>0.93036179259986784</v>
      </c>
      <c r="H138" s="36"/>
    </row>
    <row r="139" spans="1:9" ht="19.5" customHeight="1" x14ac:dyDescent="0.3">
      <c r="A139" s="96"/>
      <c r="B139" s="96"/>
      <c r="C139" s="214"/>
      <c r="D139" s="214"/>
      <c r="E139" s="214"/>
      <c r="F139" s="214"/>
      <c r="G139" s="214"/>
      <c r="H139" s="214"/>
    </row>
    <row r="140" spans="1:9" ht="18.75" x14ac:dyDescent="0.3">
      <c r="B140" s="379" t="s">
        <v>22</v>
      </c>
      <c r="C140" s="379"/>
      <c r="E140" s="98" t="s">
        <v>23</v>
      </c>
      <c r="F140" s="98"/>
      <c r="G140" s="379" t="s">
        <v>24</v>
      </c>
      <c r="H140" s="379"/>
    </row>
    <row r="141" spans="1:9" ht="37.5" customHeight="1" x14ac:dyDescent="0.3">
      <c r="A141" s="63" t="s">
        <v>25</v>
      </c>
      <c r="B141" s="215"/>
      <c r="C141" s="215"/>
      <c r="E141" s="216"/>
      <c r="F141" s="36"/>
      <c r="G141" s="216"/>
      <c r="H141" s="216"/>
    </row>
    <row r="142" spans="1:9" ht="46.5" customHeight="1" x14ac:dyDescent="0.3">
      <c r="A142" s="63" t="s">
        <v>26</v>
      </c>
      <c r="B142" s="67"/>
      <c r="C142" s="67"/>
      <c r="E142" s="62"/>
      <c r="F142" s="36"/>
      <c r="G142" s="62"/>
      <c r="H142" s="62"/>
    </row>
    <row r="143" spans="1:9" ht="18.75" x14ac:dyDescent="0.3">
      <c r="A143" s="97"/>
      <c r="B143" s="97"/>
      <c r="C143" s="97"/>
      <c r="D143" s="97"/>
      <c r="E143" s="97"/>
      <c r="F143" s="39"/>
      <c r="G143" s="97"/>
      <c r="H143" s="97"/>
    </row>
    <row r="144" spans="1:9" ht="18.75" x14ac:dyDescent="0.3">
      <c r="A144" s="97"/>
      <c r="B144" s="97"/>
      <c r="C144" s="97"/>
      <c r="D144" s="97"/>
      <c r="E144" s="97"/>
      <c r="F144" s="39"/>
      <c r="G144" s="97"/>
      <c r="H144" s="97"/>
    </row>
    <row r="145" spans="1:8" ht="18.75" x14ac:dyDescent="0.3">
      <c r="A145" s="97"/>
      <c r="B145" s="97"/>
      <c r="C145" s="97"/>
      <c r="D145" s="97"/>
      <c r="E145" s="97"/>
      <c r="F145" s="39"/>
      <c r="G145" s="97"/>
      <c r="H145" s="97"/>
    </row>
    <row r="146" spans="1:8" ht="18.75" x14ac:dyDescent="0.3">
      <c r="A146" s="97"/>
      <c r="B146" s="97"/>
      <c r="C146" s="97"/>
      <c r="D146" s="97"/>
      <c r="E146" s="97"/>
      <c r="F146" s="39"/>
      <c r="G146" s="97"/>
      <c r="H146" s="97"/>
    </row>
    <row r="147" spans="1:8" ht="18.75" x14ac:dyDescent="0.3">
      <c r="A147" s="97"/>
      <c r="B147" s="97"/>
      <c r="C147" s="97"/>
      <c r="D147" s="97"/>
      <c r="E147" s="97"/>
      <c r="F147" s="39"/>
      <c r="G147" s="97"/>
      <c r="H147" s="97"/>
    </row>
    <row r="148" spans="1:8" ht="18.75" x14ac:dyDescent="0.3">
      <c r="A148" s="97"/>
      <c r="B148" s="97"/>
      <c r="C148" s="97"/>
      <c r="D148" s="97"/>
      <c r="E148" s="97"/>
      <c r="F148" s="39"/>
      <c r="G148" s="97"/>
      <c r="H148" s="97"/>
    </row>
    <row r="149" spans="1:8" ht="18.75" x14ac:dyDescent="0.3">
      <c r="A149" s="97"/>
      <c r="B149" s="97"/>
      <c r="C149" s="97"/>
      <c r="D149" s="97"/>
      <c r="E149" s="97"/>
      <c r="F149" s="39"/>
      <c r="G149" s="97"/>
      <c r="H149" s="97"/>
    </row>
    <row r="150" spans="1:8" ht="18.75" x14ac:dyDescent="0.3">
      <c r="A150" s="97"/>
      <c r="B150" s="97"/>
      <c r="C150" s="97"/>
      <c r="D150" s="97"/>
      <c r="E150" s="97"/>
      <c r="F150" s="39"/>
      <c r="G150" s="97"/>
      <c r="H150" s="97"/>
    </row>
    <row r="151" spans="1:8" ht="18.75" x14ac:dyDescent="0.3">
      <c r="A151" s="97"/>
      <c r="B151" s="97"/>
      <c r="C151" s="97"/>
      <c r="D151" s="97"/>
      <c r="E151" s="97"/>
      <c r="F151" s="39"/>
      <c r="G151" s="97"/>
      <c r="H151" s="97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&amp;LNQCL/ADDO/014&amp;C&amp;P of &amp;N&amp;R&amp;D &amp;T</oddFooter>
  </headerFooter>
  <rowBreaks count="1" manualBreakCount="1">
    <brk id="121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0"/>
  <sheetViews>
    <sheetView tabSelected="1" view="pageBreakPreview" zoomScale="55" zoomScaleNormal="75" workbookViewId="0">
      <selection activeCell="C20" sqref="C20"/>
    </sheetView>
  </sheetViews>
  <sheetFormatPr defaultRowHeight="15" x14ac:dyDescent="0.3"/>
  <cols>
    <col min="1" max="1" width="55.42578125" style="217" customWidth="1"/>
    <col min="2" max="2" width="33.7109375" style="217" customWidth="1"/>
    <col min="3" max="3" width="42.28515625" style="217" customWidth="1"/>
    <col min="4" max="4" width="30.5703125" style="217" customWidth="1"/>
    <col min="5" max="5" width="39.85546875" style="217" customWidth="1"/>
    <col min="6" max="6" width="30.7109375" style="217" customWidth="1"/>
    <col min="7" max="7" width="39.85546875" style="217" customWidth="1"/>
    <col min="8" max="8" width="41.140625" style="217" customWidth="1"/>
    <col min="9" max="9" width="30.28515625" style="217" customWidth="1"/>
    <col min="10" max="10" width="30.42578125" style="217" customWidth="1"/>
    <col min="11" max="11" width="21.28515625" style="217" customWidth="1"/>
    <col min="12" max="12" width="9.140625" style="217" customWidth="1"/>
    <col min="13" max="16384" width="9.140625" style="218"/>
  </cols>
  <sheetData>
    <row r="1" spans="1:8" x14ac:dyDescent="0.3">
      <c r="A1" s="413" t="s">
        <v>41</v>
      </c>
      <c r="B1" s="413"/>
      <c r="C1" s="413"/>
      <c r="D1" s="413"/>
      <c r="E1" s="413"/>
      <c r="F1" s="413"/>
      <c r="G1" s="413"/>
      <c r="H1" s="413"/>
    </row>
    <row r="2" spans="1:8" x14ac:dyDescent="0.3">
      <c r="A2" s="413"/>
      <c r="B2" s="413"/>
      <c r="C2" s="413"/>
      <c r="D2" s="413"/>
      <c r="E2" s="413"/>
      <c r="F2" s="413"/>
      <c r="G2" s="413"/>
      <c r="H2" s="413"/>
    </row>
    <row r="3" spans="1:8" x14ac:dyDescent="0.3">
      <c r="A3" s="413"/>
      <c r="B3" s="413"/>
      <c r="C3" s="413"/>
      <c r="D3" s="413"/>
      <c r="E3" s="413"/>
      <c r="F3" s="413"/>
      <c r="G3" s="413"/>
      <c r="H3" s="413"/>
    </row>
    <row r="4" spans="1:8" x14ac:dyDescent="0.3">
      <c r="A4" s="413"/>
      <c r="B4" s="413"/>
      <c r="C4" s="413"/>
      <c r="D4" s="413"/>
      <c r="E4" s="413"/>
      <c r="F4" s="413"/>
      <c r="G4" s="413"/>
      <c r="H4" s="413"/>
    </row>
    <row r="5" spans="1:8" x14ac:dyDescent="0.3">
      <c r="A5" s="413"/>
      <c r="B5" s="413"/>
      <c r="C5" s="413"/>
      <c r="D5" s="413"/>
      <c r="E5" s="413"/>
      <c r="F5" s="413"/>
      <c r="G5" s="413"/>
      <c r="H5" s="413"/>
    </row>
    <row r="6" spans="1:8" x14ac:dyDescent="0.3">
      <c r="A6" s="413"/>
      <c r="B6" s="413"/>
      <c r="C6" s="413"/>
      <c r="D6" s="413"/>
      <c r="E6" s="413"/>
      <c r="F6" s="413"/>
      <c r="G6" s="413"/>
      <c r="H6" s="413"/>
    </row>
    <row r="7" spans="1:8" x14ac:dyDescent="0.3">
      <c r="A7" s="413"/>
      <c r="B7" s="413"/>
      <c r="C7" s="413"/>
      <c r="D7" s="413"/>
      <c r="E7" s="413"/>
      <c r="F7" s="413"/>
      <c r="G7" s="413"/>
      <c r="H7" s="413"/>
    </row>
    <row r="8" spans="1:8" x14ac:dyDescent="0.3">
      <c r="A8" s="414" t="s">
        <v>42</v>
      </c>
      <c r="B8" s="414"/>
      <c r="C8" s="414"/>
      <c r="D8" s="414"/>
      <c r="E8" s="414"/>
      <c r="F8" s="414"/>
      <c r="G8" s="414"/>
      <c r="H8" s="414"/>
    </row>
    <row r="9" spans="1:8" x14ac:dyDescent="0.3">
      <c r="A9" s="414"/>
      <c r="B9" s="414"/>
      <c r="C9" s="414"/>
      <c r="D9" s="414"/>
      <c r="E9" s="414"/>
      <c r="F9" s="414"/>
      <c r="G9" s="414"/>
      <c r="H9" s="414"/>
    </row>
    <row r="10" spans="1:8" x14ac:dyDescent="0.3">
      <c r="A10" s="414"/>
      <c r="B10" s="414"/>
      <c r="C10" s="414"/>
      <c r="D10" s="414"/>
      <c r="E10" s="414"/>
      <c r="F10" s="414"/>
      <c r="G10" s="414"/>
      <c r="H10" s="414"/>
    </row>
    <row r="11" spans="1:8" x14ac:dyDescent="0.3">
      <c r="A11" s="414"/>
      <c r="B11" s="414"/>
      <c r="C11" s="414"/>
      <c r="D11" s="414"/>
      <c r="E11" s="414"/>
      <c r="F11" s="414"/>
      <c r="G11" s="414"/>
      <c r="H11" s="414"/>
    </row>
    <row r="12" spans="1:8" x14ac:dyDescent="0.3">
      <c r="A12" s="414"/>
      <c r="B12" s="414"/>
      <c r="C12" s="414"/>
      <c r="D12" s="414"/>
      <c r="E12" s="414"/>
      <c r="F12" s="414"/>
      <c r="G12" s="414"/>
      <c r="H12" s="414"/>
    </row>
    <row r="13" spans="1:8" x14ac:dyDescent="0.3">
      <c r="A13" s="414"/>
      <c r="B13" s="414"/>
      <c r="C13" s="414"/>
      <c r="D13" s="414"/>
      <c r="E13" s="414"/>
      <c r="F13" s="414"/>
      <c r="G13" s="414"/>
      <c r="H13" s="414"/>
    </row>
    <row r="14" spans="1:8" x14ac:dyDescent="0.3">
      <c r="A14" s="414"/>
      <c r="B14" s="414"/>
      <c r="C14" s="414"/>
      <c r="D14" s="414"/>
      <c r="E14" s="414"/>
      <c r="F14" s="414"/>
      <c r="G14" s="414"/>
      <c r="H14" s="414"/>
    </row>
    <row r="15" spans="1:8" ht="19.5" customHeight="1" x14ac:dyDescent="0.3"/>
    <row r="16" spans="1:8" ht="19.5" customHeight="1" x14ac:dyDescent="0.3">
      <c r="A16" s="415" t="s">
        <v>27</v>
      </c>
      <c r="B16" s="416"/>
      <c r="C16" s="416"/>
      <c r="D16" s="416"/>
      <c r="E16" s="416"/>
      <c r="F16" s="416"/>
      <c r="G16" s="416"/>
      <c r="H16" s="417"/>
    </row>
    <row r="17" spans="1:14" ht="18.75" x14ac:dyDescent="0.3">
      <c r="A17" s="219" t="s">
        <v>43</v>
      </c>
      <c r="B17" s="219"/>
    </row>
    <row r="18" spans="1:14" ht="18.75" x14ac:dyDescent="0.3">
      <c r="A18" s="220" t="s">
        <v>29</v>
      </c>
      <c r="B18" s="421" t="s">
        <v>5</v>
      </c>
      <c r="C18" s="421"/>
      <c r="D18" s="221"/>
      <c r="E18" s="221"/>
    </row>
    <row r="19" spans="1:14" ht="18.75" x14ac:dyDescent="0.3">
      <c r="A19" s="220" t="s">
        <v>30</v>
      </c>
      <c r="B19" s="221" t="s">
        <v>7</v>
      </c>
      <c r="C19" s="220">
        <v>29</v>
      </c>
    </row>
    <row r="20" spans="1:14" ht="18.75" x14ac:dyDescent="0.3">
      <c r="A20" s="220" t="s">
        <v>31</v>
      </c>
      <c r="B20" s="221" t="s">
        <v>9</v>
      </c>
    </row>
    <row r="21" spans="1:14" ht="18.75" x14ac:dyDescent="0.3">
      <c r="A21" s="220" t="s">
        <v>32</v>
      </c>
      <c r="B21" s="222" t="s">
        <v>11</v>
      </c>
      <c r="C21" s="222"/>
      <c r="D21" s="222"/>
      <c r="E21" s="222"/>
      <c r="F21" s="222"/>
      <c r="G21" s="222"/>
      <c r="H21" s="222"/>
      <c r="I21" s="222"/>
    </row>
    <row r="22" spans="1:14" ht="18.75" x14ac:dyDescent="0.3">
      <c r="A22" s="220" t="s">
        <v>33</v>
      </c>
      <c r="B22" s="223" t="str">
        <f>'ARTEMETHER '!B22</f>
        <v>29th Oct 2015</v>
      </c>
    </row>
    <row r="23" spans="1:14" ht="18.75" x14ac:dyDescent="0.3">
      <c r="A23" s="220" t="s">
        <v>34</v>
      </c>
      <c r="B23" s="223" t="str">
        <f>'ARTEMETHER '!B23</f>
        <v>4th Dec 2015</v>
      </c>
    </row>
    <row r="24" spans="1:14" ht="18.75" x14ac:dyDescent="0.3">
      <c r="A24" s="220"/>
      <c r="B24" s="224"/>
    </row>
    <row r="25" spans="1:14" ht="18.75" x14ac:dyDescent="0.3">
      <c r="A25" s="225" t="s">
        <v>1</v>
      </c>
      <c r="B25" s="224"/>
    </row>
    <row r="26" spans="1:14" ht="26.25" customHeight="1" x14ac:dyDescent="0.4">
      <c r="A26" s="226" t="s">
        <v>4</v>
      </c>
      <c r="B26" s="422" t="s">
        <v>104</v>
      </c>
      <c r="C26" s="422"/>
    </row>
    <row r="27" spans="1:14" ht="26.25" customHeight="1" x14ac:dyDescent="0.4">
      <c r="A27" s="226" t="s">
        <v>44</v>
      </c>
      <c r="B27" s="423" t="s">
        <v>105</v>
      </c>
      <c r="C27" s="423"/>
    </row>
    <row r="28" spans="1:14" ht="27" customHeight="1" x14ac:dyDescent="0.4">
      <c r="A28" s="226" t="s">
        <v>6</v>
      </c>
      <c r="B28" s="227">
        <v>100.2</v>
      </c>
    </row>
    <row r="29" spans="1:14" s="228" customFormat="1" ht="27" customHeight="1" x14ac:dyDescent="0.4">
      <c r="A29" s="226" t="s">
        <v>45</v>
      </c>
      <c r="B29" s="227">
        <v>0</v>
      </c>
      <c r="C29" s="424" t="s">
        <v>46</v>
      </c>
      <c r="D29" s="425"/>
      <c r="E29" s="425"/>
      <c r="F29" s="425"/>
      <c r="G29" s="426"/>
      <c r="I29" s="229"/>
      <c r="J29" s="229"/>
      <c r="K29" s="229"/>
      <c r="L29" s="229"/>
    </row>
    <row r="30" spans="1:14" s="228" customFormat="1" ht="19.5" customHeight="1" x14ac:dyDescent="0.3">
      <c r="A30" s="226" t="s">
        <v>47</v>
      </c>
      <c r="B30" s="230">
        <f>B28-B29</f>
        <v>100.2</v>
      </c>
      <c r="C30" s="231"/>
      <c r="D30" s="231"/>
      <c r="E30" s="231"/>
      <c r="F30" s="231"/>
      <c r="G30" s="232"/>
      <c r="I30" s="229"/>
      <c r="J30" s="229"/>
      <c r="K30" s="229"/>
      <c r="L30" s="229"/>
    </row>
    <row r="31" spans="1:14" s="228" customFormat="1" ht="27" customHeight="1" x14ac:dyDescent="0.4">
      <c r="A31" s="226" t="s">
        <v>48</v>
      </c>
      <c r="B31" s="233">
        <v>1</v>
      </c>
      <c r="C31" s="418" t="s">
        <v>49</v>
      </c>
      <c r="D31" s="419"/>
      <c r="E31" s="419"/>
      <c r="F31" s="419"/>
      <c r="G31" s="419"/>
      <c r="H31" s="420"/>
      <c r="I31" s="229"/>
      <c r="J31" s="229"/>
      <c r="K31" s="229"/>
      <c r="L31" s="229"/>
    </row>
    <row r="32" spans="1:14" s="228" customFormat="1" ht="27" customHeight="1" x14ac:dyDescent="0.4">
      <c r="A32" s="226" t="s">
        <v>50</v>
      </c>
      <c r="B32" s="233">
        <v>1</v>
      </c>
      <c r="C32" s="418" t="s">
        <v>51</v>
      </c>
      <c r="D32" s="419"/>
      <c r="E32" s="419"/>
      <c r="F32" s="419"/>
      <c r="G32" s="419"/>
      <c r="H32" s="420"/>
      <c r="I32" s="229"/>
      <c r="J32" s="229"/>
      <c r="K32" s="229"/>
      <c r="L32" s="234"/>
      <c r="M32" s="234"/>
      <c r="N32" s="235"/>
    </row>
    <row r="33" spans="1:14" s="228" customFormat="1" ht="17.25" customHeight="1" x14ac:dyDescent="0.3">
      <c r="A33" s="226"/>
      <c r="B33" s="236"/>
      <c r="C33" s="237"/>
      <c r="D33" s="237"/>
      <c r="E33" s="237"/>
      <c r="F33" s="237"/>
      <c r="G33" s="237"/>
      <c r="H33" s="237"/>
      <c r="I33" s="229"/>
      <c r="J33" s="229"/>
      <c r="K33" s="229"/>
      <c r="L33" s="234"/>
      <c r="M33" s="234"/>
      <c r="N33" s="235"/>
    </row>
    <row r="34" spans="1:14" s="228" customFormat="1" ht="18.75" x14ac:dyDescent="0.3">
      <c r="A34" s="226" t="s">
        <v>52</v>
      </c>
      <c r="B34" s="238">
        <f>B31/B32</f>
        <v>1</v>
      </c>
      <c r="C34" s="220" t="s">
        <v>53</v>
      </c>
      <c r="D34" s="220"/>
      <c r="E34" s="220"/>
      <c r="F34" s="220"/>
      <c r="G34" s="220"/>
      <c r="I34" s="229"/>
      <c r="J34" s="229"/>
      <c r="K34" s="229"/>
      <c r="L34" s="234"/>
      <c r="M34" s="234"/>
      <c r="N34" s="235"/>
    </row>
    <row r="35" spans="1:14" s="228" customFormat="1" ht="19.5" customHeight="1" x14ac:dyDescent="0.3">
      <c r="A35" s="226"/>
      <c r="B35" s="230"/>
      <c r="G35" s="220"/>
      <c r="I35" s="229"/>
      <c r="J35" s="229"/>
      <c r="K35" s="229"/>
      <c r="L35" s="234"/>
      <c r="M35" s="234"/>
      <c r="N35" s="235"/>
    </row>
    <row r="36" spans="1:14" s="228" customFormat="1" ht="27" customHeight="1" x14ac:dyDescent="0.4">
      <c r="A36" s="239" t="s">
        <v>54</v>
      </c>
      <c r="B36" s="240">
        <v>50</v>
      </c>
      <c r="C36" s="220"/>
      <c r="D36" s="427" t="s">
        <v>55</v>
      </c>
      <c r="E36" s="429"/>
      <c r="F36" s="427" t="s">
        <v>56</v>
      </c>
      <c r="G36" s="428"/>
      <c r="J36" s="229"/>
      <c r="K36" s="229"/>
      <c r="L36" s="234"/>
      <c r="M36" s="234"/>
      <c r="N36" s="235"/>
    </row>
    <row r="37" spans="1:14" s="228" customFormat="1" ht="15.75" customHeight="1" x14ac:dyDescent="0.4">
      <c r="A37" s="241" t="s">
        <v>125</v>
      </c>
      <c r="B37" s="242">
        <v>4</v>
      </c>
      <c r="C37" s="243" t="s">
        <v>57</v>
      </c>
      <c r="D37" s="244" t="s">
        <v>58</v>
      </c>
      <c r="E37" s="245" t="s">
        <v>59</v>
      </c>
      <c r="F37" s="244" t="s">
        <v>58</v>
      </c>
      <c r="G37" s="246" t="s">
        <v>59</v>
      </c>
      <c r="J37" s="229"/>
      <c r="K37" s="229"/>
      <c r="L37" s="234"/>
      <c r="M37" s="234"/>
      <c r="N37" s="235"/>
    </row>
    <row r="38" spans="1:14" s="228" customFormat="1" ht="26.25" customHeight="1" x14ac:dyDescent="0.4">
      <c r="A38" s="241" t="s">
        <v>126</v>
      </c>
      <c r="B38" s="242">
        <v>20</v>
      </c>
      <c r="C38" s="247">
        <v>1</v>
      </c>
      <c r="D38" s="248">
        <v>7634985</v>
      </c>
      <c r="E38" s="249">
        <f>IF(ISBLANK(D38),"-",$D$48/$D$45*D38)</f>
        <v>7871637.9225021033</v>
      </c>
      <c r="F38" s="250">
        <v>9673668</v>
      </c>
      <c r="G38" s="251">
        <f>IF(ISBLANK(F38),"-",$D$48/$F$45*F38)</f>
        <v>8072206.7570544509</v>
      </c>
      <c r="J38" s="229"/>
      <c r="K38" s="229"/>
      <c r="L38" s="234"/>
      <c r="M38" s="234"/>
      <c r="N38" s="235"/>
    </row>
    <row r="39" spans="1:14" s="228" customFormat="1" ht="26.25" customHeight="1" x14ac:dyDescent="0.4">
      <c r="A39" s="241" t="s">
        <v>127</v>
      </c>
      <c r="B39" s="242">
        <v>1</v>
      </c>
      <c r="C39" s="252">
        <v>2</v>
      </c>
      <c r="D39" s="248">
        <v>7667532</v>
      </c>
      <c r="E39" s="253">
        <f>IF(ISBLANK(D39),"-",$D$48/$D$45*D39)</f>
        <v>7905193.7447419204</v>
      </c>
      <c r="F39" s="250">
        <v>9652197</v>
      </c>
      <c r="G39" s="254">
        <f>IF(ISBLANK(F39),"-",$D$48/$F$45*F39)</f>
        <v>8054290.2489335686</v>
      </c>
      <c r="J39" s="229"/>
      <c r="K39" s="229"/>
      <c r="L39" s="234"/>
      <c r="M39" s="234"/>
      <c r="N39" s="235"/>
    </row>
    <row r="40" spans="1:14" ht="26.25" customHeight="1" x14ac:dyDescent="0.4">
      <c r="A40" s="241" t="s">
        <v>128</v>
      </c>
      <c r="B40" s="242">
        <v>1</v>
      </c>
      <c r="C40" s="252">
        <v>3</v>
      </c>
      <c r="D40" s="248">
        <v>7678672</v>
      </c>
      <c r="E40" s="253">
        <f>IF(ISBLANK(D40),"-",$D$48/$D$45*D40)</f>
        <v>7916679.0386169804</v>
      </c>
      <c r="F40" s="250">
        <v>9656953</v>
      </c>
      <c r="G40" s="254">
        <f>IF(ISBLANK(F40),"-",$D$48/$F$45*F40)</f>
        <v>8058258.9002596792</v>
      </c>
      <c r="L40" s="234"/>
      <c r="M40" s="234"/>
      <c r="N40" s="220"/>
    </row>
    <row r="41" spans="1:14" ht="26.25" customHeight="1" x14ac:dyDescent="0.4">
      <c r="A41" s="241" t="s">
        <v>129</v>
      </c>
      <c r="B41" s="242">
        <v>1</v>
      </c>
      <c r="C41" s="255">
        <v>4</v>
      </c>
      <c r="D41" s="248"/>
      <c r="E41" s="256" t="str">
        <f>IF(ISBLANK(D41),"-",$D$48/$D$45*D41)</f>
        <v>-</v>
      </c>
      <c r="F41" s="250"/>
      <c r="G41" s="257" t="str">
        <f>IF(ISBLANK(F41),"-",$D$48/$F$45*F41)</f>
        <v>-</v>
      </c>
      <c r="L41" s="234"/>
      <c r="M41" s="234"/>
      <c r="N41" s="220"/>
    </row>
    <row r="42" spans="1:14" ht="27" customHeight="1" thickBot="1" x14ac:dyDescent="0.45">
      <c r="A42" s="241" t="s">
        <v>130</v>
      </c>
      <c r="B42" s="242">
        <v>1</v>
      </c>
      <c r="C42" s="258" t="s">
        <v>60</v>
      </c>
      <c r="D42" s="259">
        <f>AVERAGE(D38:D41)</f>
        <v>7660396.333333333</v>
      </c>
      <c r="E42" s="260">
        <f>AVERAGE(E38:E41)</f>
        <v>7897836.9019536683</v>
      </c>
      <c r="F42" s="259">
        <f>AVERAGE(F38:F41)</f>
        <v>9660939.333333334</v>
      </c>
      <c r="G42" s="261">
        <f>AVERAGE(G38:G41)</f>
        <v>8061585.3020825656</v>
      </c>
      <c r="H42" s="262"/>
    </row>
    <row r="43" spans="1:14" ht="26.25" customHeight="1" x14ac:dyDescent="0.4">
      <c r="A43" s="241" t="s">
        <v>131</v>
      </c>
      <c r="B43" s="227">
        <v>1</v>
      </c>
      <c r="C43" s="263" t="s">
        <v>61</v>
      </c>
      <c r="D43" s="264">
        <v>14.52</v>
      </c>
      <c r="E43" s="220"/>
      <c r="F43" s="264">
        <v>17.940000000000001</v>
      </c>
      <c r="H43" s="262"/>
    </row>
    <row r="44" spans="1:14" ht="26.25" customHeight="1" x14ac:dyDescent="0.4">
      <c r="A44" s="241" t="s">
        <v>132</v>
      </c>
      <c r="B44" s="227">
        <v>1</v>
      </c>
      <c r="C44" s="265" t="s">
        <v>62</v>
      </c>
      <c r="D44" s="266">
        <f>D43*$B$34</f>
        <v>14.52</v>
      </c>
      <c r="E44" s="230"/>
      <c r="F44" s="267">
        <f>F43*$B$34</f>
        <v>17.940000000000001</v>
      </c>
      <c r="H44" s="262"/>
    </row>
    <row r="45" spans="1:14" ht="19.5" customHeight="1" x14ac:dyDescent="0.3">
      <c r="A45" s="241" t="s">
        <v>63</v>
      </c>
      <c r="B45" s="230">
        <f>(B44/B43)*(B42/B41)*(B40/B39)*(B38/B37)*B36</f>
        <v>250</v>
      </c>
      <c r="C45" s="265" t="s">
        <v>64</v>
      </c>
      <c r="D45" s="268">
        <f>D44*$B$30/100</f>
        <v>14.54904</v>
      </c>
      <c r="E45" s="236"/>
      <c r="F45" s="269">
        <f>F44*$B$30/100</f>
        <v>17.975880000000004</v>
      </c>
      <c r="H45" s="262"/>
    </row>
    <row r="46" spans="1:14" ht="19.5" customHeight="1" x14ac:dyDescent="0.3">
      <c r="A46" s="430" t="s">
        <v>65</v>
      </c>
      <c r="B46" s="431"/>
      <c r="C46" s="265" t="s">
        <v>66</v>
      </c>
      <c r="D46" s="266">
        <f>D45/$B$45</f>
        <v>5.8196159999999997E-2</v>
      </c>
      <c r="E46" s="236"/>
      <c r="F46" s="270">
        <f>F45/$B$45</f>
        <v>7.1903520000000012E-2</v>
      </c>
      <c r="H46" s="262"/>
    </row>
    <row r="47" spans="1:14" ht="27" customHeight="1" x14ac:dyDescent="0.4">
      <c r="A47" s="432"/>
      <c r="B47" s="433"/>
      <c r="C47" s="265" t="s">
        <v>67</v>
      </c>
      <c r="D47" s="271">
        <v>0.06</v>
      </c>
      <c r="F47" s="272"/>
      <c r="H47" s="262"/>
    </row>
    <row r="48" spans="1:14" ht="18.75" x14ac:dyDescent="0.3">
      <c r="C48" s="265" t="s">
        <v>68</v>
      </c>
      <c r="D48" s="266">
        <f>D47*$B$45</f>
        <v>15</v>
      </c>
      <c r="F48" s="272"/>
      <c r="H48" s="262"/>
    </row>
    <row r="49" spans="1:12" ht="19.5" customHeight="1" x14ac:dyDescent="0.3">
      <c r="C49" s="273" t="s">
        <v>69</v>
      </c>
      <c r="D49" s="274">
        <f>D48/B34</f>
        <v>15</v>
      </c>
      <c r="F49" s="275"/>
      <c r="H49" s="262"/>
    </row>
    <row r="50" spans="1:12" ht="18.75" x14ac:dyDescent="0.3">
      <c r="C50" s="276" t="s">
        <v>70</v>
      </c>
      <c r="D50" s="277">
        <f>AVERAGE(E38:E41,G38:G41)</f>
        <v>7979711.1020181179</v>
      </c>
      <c r="F50" s="275"/>
      <c r="H50" s="262"/>
    </row>
    <row r="51" spans="1:12" ht="18.75" x14ac:dyDescent="0.3">
      <c r="C51" s="278" t="s">
        <v>71</v>
      </c>
      <c r="D51" s="279">
        <f>STDEV(E38:E41,G38:G41)/D50</f>
        <v>1.1416025811954087E-2</v>
      </c>
      <c r="F51" s="275"/>
    </row>
    <row r="52" spans="1:12" ht="19.5" customHeight="1" x14ac:dyDescent="0.3">
      <c r="C52" s="280" t="s">
        <v>19</v>
      </c>
      <c r="D52" s="281">
        <f>COUNT(E38:E41,G38:G41)</f>
        <v>6</v>
      </c>
      <c r="F52" s="275"/>
    </row>
    <row r="54" spans="1:12" ht="18.75" x14ac:dyDescent="0.3">
      <c r="A54" s="219" t="s">
        <v>1</v>
      </c>
      <c r="B54" s="282" t="s">
        <v>72</v>
      </c>
    </row>
    <row r="55" spans="1:12" ht="18.75" x14ac:dyDescent="0.3">
      <c r="A55" s="220" t="s">
        <v>73</v>
      </c>
      <c r="B55" s="282" t="str">
        <f>B21</f>
        <v>Each uncoated caplet contains:
Artemether 80 mg
Lumefantrine 480 mg</v>
      </c>
    </row>
    <row r="56" spans="1:12" ht="26.25" customHeight="1" x14ac:dyDescent="0.4">
      <c r="A56" s="282" t="s">
        <v>74</v>
      </c>
      <c r="B56" s="227">
        <v>480</v>
      </c>
      <c r="C56" s="220" t="str">
        <f>B20</f>
        <v>Artemether 80mg, Lumefantrine 480mg</v>
      </c>
      <c r="H56" s="230"/>
    </row>
    <row r="57" spans="1:12" ht="18.75" x14ac:dyDescent="0.3">
      <c r="A57" s="282" t="s">
        <v>75</v>
      </c>
      <c r="B57" s="283">
        <f>Uniformity!C46</f>
        <v>944.52600000000007</v>
      </c>
      <c r="H57" s="230"/>
    </row>
    <row r="58" spans="1:12" ht="19.5" customHeight="1" x14ac:dyDescent="0.3">
      <c r="H58" s="230"/>
    </row>
    <row r="59" spans="1:12" s="228" customFormat="1" ht="27" customHeight="1" thickBot="1" x14ac:dyDescent="0.45">
      <c r="A59" s="239" t="s">
        <v>76</v>
      </c>
      <c r="B59" s="240">
        <v>100</v>
      </c>
      <c r="C59" s="220"/>
      <c r="D59" s="284" t="s">
        <v>77</v>
      </c>
      <c r="E59" s="285" t="s">
        <v>78</v>
      </c>
      <c r="F59" s="285" t="s">
        <v>58</v>
      </c>
      <c r="G59" s="285" t="s">
        <v>79</v>
      </c>
      <c r="H59" s="243" t="s">
        <v>80</v>
      </c>
      <c r="L59" s="229"/>
    </row>
    <row r="60" spans="1:12" s="228" customFormat="1" ht="22.5" customHeight="1" x14ac:dyDescent="0.4">
      <c r="A60" s="241" t="s">
        <v>133</v>
      </c>
      <c r="B60" s="242">
        <v>2</v>
      </c>
      <c r="C60" s="442" t="s">
        <v>81</v>
      </c>
      <c r="D60" s="439">
        <v>112</v>
      </c>
      <c r="E60" s="285">
        <v>1</v>
      </c>
      <c r="F60" s="286">
        <v>7243435</v>
      </c>
      <c r="G60" s="287">
        <f>IF(ISBLANK(F60),"-",(F60/$D$50*$D$47*$B$68)*($B$57/$D$60))</f>
        <v>459.30856478266179</v>
      </c>
      <c r="H60" s="288">
        <f t="shared" ref="H60:H71" si="0">IF(ISBLANK(F60),"-",G60/$B$56)</f>
        <v>0.95689284329721203</v>
      </c>
      <c r="L60" s="229"/>
    </row>
    <row r="61" spans="1:12" s="228" customFormat="1" ht="26.25" customHeight="1" x14ac:dyDescent="0.4">
      <c r="A61" s="241" t="s">
        <v>134</v>
      </c>
      <c r="B61" s="242">
        <v>20</v>
      </c>
      <c r="C61" s="443"/>
      <c r="D61" s="440"/>
      <c r="E61" s="289">
        <v>2</v>
      </c>
      <c r="F61" s="290">
        <v>7402101</v>
      </c>
      <c r="G61" s="291">
        <f>IF(ISBLANK(F61),"-",(F61/$D$50*$D$47*$B$68)*($B$57/$D$60))</f>
        <v>469.36962735032557</v>
      </c>
      <c r="H61" s="292">
        <f t="shared" si="0"/>
        <v>0.97785339031317831</v>
      </c>
      <c r="L61" s="229"/>
    </row>
    <row r="62" spans="1:12" s="228" customFormat="1" ht="26.25" customHeight="1" x14ac:dyDescent="0.4">
      <c r="A62" s="241" t="s">
        <v>135</v>
      </c>
      <c r="B62" s="242">
        <v>1</v>
      </c>
      <c r="C62" s="443"/>
      <c r="D62" s="440"/>
      <c r="E62" s="289">
        <v>3</v>
      </c>
      <c r="F62" s="293">
        <v>7412294</v>
      </c>
      <c r="G62" s="291">
        <f>IF(ISBLANK(F62),"-",(F62/$D$50*$D$47*$B$68)*($B$57/$D$60))</f>
        <v>470.01596878927404</v>
      </c>
      <c r="H62" s="292">
        <f t="shared" si="0"/>
        <v>0.97919993497765423</v>
      </c>
      <c r="L62" s="229"/>
    </row>
    <row r="63" spans="1:12" ht="21" customHeight="1" thickBot="1" x14ac:dyDescent="0.45">
      <c r="A63" s="241" t="s">
        <v>136</v>
      </c>
      <c r="B63" s="242">
        <v>1</v>
      </c>
      <c r="C63" s="444"/>
      <c r="D63" s="441"/>
      <c r="E63" s="294">
        <v>4</v>
      </c>
      <c r="F63" s="295"/>
      <c r="G63" s="291" t="str">
        <f>IF(ISBLANK(F63),"-",(F63/$D$50*$D$47*$B$68)*($B$57/$D$60))</f>
        <v>-</v>
      </c>
      <c r="H63" s="292" t="str">
        <f t="shared" si="0"/>
        <v>-</v>
      </c>
    </row>
    <row r="64" spans="1:12" ht="26.25" customHeight="1" x14ac:dyDescent="0.4">
      <c r="A64" s="241" t="s">
        <v>137</v>
      </c>
      <c r="B64" s="242">
        <v>1</v>
      </c>
      <c r="C64" s="442" t="s">
        <v>82</v>
      </c>
      <c r="D64" s="439">
        <v>113.08</v>
      </c>
      <c r="E64" s="285">
        <v>1</v>
      </c>
      <c r="F64" s="286">
        <v>7316035</v>
      </c>
      <c r="G64" s="284">
        <f>IF(ISBLANK(F64),"-",(F64/$D$50*$D$47*$B$68)*($B$57/$D$64))</f>
        <v>459.48144046060747</v>
      </c>
      <c r="H64" s="296">
        <f t="shared" si="0"/>
        <v>0.95725300095959887</v>
      </c>
    </row>
    <row r="65" spans="1:8" ht="26.25" customHeight="1" x14ac:dyDescent="0.4">
      <c r="A65" s="241" t="s">
        <v>138</v>
      </c>
      <c r="B65" s="242">
        <v>1</v>
      </c>
      <c r="C65" s="443"/>
      <c r="D65" s="440"/>
      <c r="E65" s="289">
        <v>2</v>
      </c>
      <c r="F65" s="290">
        <v>7446309</v>
      </c>
      <c r="G65" s="297">
        <f>IF(ISBLANK(F65),"-",(F65/$D$50*$D$47*$B$68)*($B$57/$D$64))</f>
        <v>467.66326096509738</v>
      </c>
      <c r="H65" s="298">
        <f t="shared" si="0"/>
        <v>0.97429846034395284</v>
      </c>
    </row>
    <row r="66" spans="1:8" ht="26.25" customHeight="1" x14ac:dyDescent="0.4">
      <c r="A66" s="241" t="s">
        <v>139</v>
      </c>
      <c r="B66" s="242">
        <v>1</v>
      </c>
      <c r="C66" s="443"/>
      <c r="D66" s="440"/>
      <c r="E66" s="289">
        <v>3</v>
      </c>
      <c r="F66" s="290">
        <v>7412030</v>
      </c>
      <c r="G66" s="297">
        <f>IF(ISBLANK(F66),"-",(F66/$D$50*$D$47*$B$68)*($B$57/$D$64))</f>
        <v>465.5103783862757</v>
      </c>
      <c r="H66" s="298">
        <f t="shared" si="0"/>
        <v>0.96981328830474101</v>
      </c>
    </row>
    <row r="67" spans="1:8" ht="21" customHeight="1" thickBot="1" x14ac:dyDescent="0.45">
      <c r="A67" s="241" t="s">
        <v>140</v>
      </c>
      <c r="B67" s="242">
        <v>1</v>
      </c>
      <c r="C67" s="444"/>
      <c r="D67" s="441"/>
      <c r="E67" s="294">
        <v>4</v>
      </c>
      <c r="F67" s="295"/>
      <c r="G67" s="299" t="str">
        <f>IF(ISBLANK(F67),"-",(F67/$D$50*$D$47*$B$68)*($B$57/$D$64))</f>
        <v>-</v>
      </c>
      <c r="H67" s="300" t="str">
        <f t="shared" si="0"/>
        <v>-</v>
      </c>
    </row>
    <row r="68" spans="1:8" ht="21.75" customHeight="1" x14ac:dyDescent="0.4">
      <c r="A68" s="241" t="s">
        <v>83</v>
      </c>
      <c r="B68" s="252">
        <f>(B67/B66)*(B65/B64)*(B63/B62)*(B61/B60)*B59</f>
        <v>1000</v>
      </c>
      <c r="C68" s="442" t="s">
        <v>84</v>
      </c>
      <c r="D68" s="439">
        <v>120.04</v>
      </c>
      <c r="E68" s="285">
        <v>1</v>
      </c>
      <c r="F68" s="286">
        <v>7971085</v>
      </c>
      <c r="G68" s="284">
        <f>IF(ISBLANK(F68),"-",(F68/$D$50*$D$47*$B$68)*($B$57/$D$68))</f>
        <v>471.59528323828152</v>
      </c>
      <c r="H68" s="292">
        <f t="shared" si="0"/>
        <v>0.98249017341308653</v>
      </c>
    </row>
    <row r="69" spans="1:8" ht="21.75" customHeight="1" thickBot="1" x14ac:dyDescent="0.45">
      <c r="A69" s="301" t="s">
        <v>85</v>
      </c>
      <c r="B69" s="302">
        <f>D47*B68/B56*B57</f>
        <v>118.06575000000001</v>
      </c>
      <c r="C69" s="443"/>
      <c r="D69" s="440"/>
      <c r="E69" s="289">
        <v>2</v>
      </c>
      <c r="F69" s="290">
        <v>8050531</v>
      </c>
      <c r="G69" s="297">
        <f>IF(ISBLANK(F69),"-",(F69/$D$50*$D$47*$B$68)*($B$57/$D$68))</f>
        <v>476.29556668428035</v>
      </c>
      <c r="H69" s="292">
        <f t="shared" si="0"/>
        <v>0.99228243059225074</v>
      </c>
    </row>
    <row r="70" spans="1:8" ht="22.5" customHeight="1" x14ac:dyDescent="0.4">
      <c r="A70" s="434" t="s">
        <v>65</v>
      </c>
      <c r="B70" s="435"/>
      <c r="C70" s="443"/>
      <c r="D70" s="440"/>
      <c r="E70" s="289">
        <v>3</v>
      </c>
      <c r="F70" s="290">
        <v>8053232</v>
      </c>
      <c r="G70" s="297">
        <f>IF(ISBLANK(F70),"-",(F70/$D$50*$D$47*$B$68)*($B$57/$D$68))</f>
        <v>476.45536661867141</v>
      </c>
      <c r="H70" s="292">
        <f t="shared" si="0"/>
        <v>0.99261534712223209</v>
      </c>
    </row>
    <row r="71" spans="1:8" ht="21.75" customHeight="1" thickBot="1" x14ac:dyDescent="0.45">
      <c r="A71" s="436"/>
      <c r="B71" s="437"/>
      <c r="C71" s="448"/>
      <c r="D71" s="441"/>
      <c r="E71" s="294">
        <v>4</v>
      </c>
      <c r="F71" s="295"/>
      <c r="G71" s="299" t="str">
        <f>IF(ISBLANK(F71),"-",(F71/$D$50*$D$47*$B$68)*($B$57/$D$68))</f>
        <v>-</v>
      </c>
      <c r="H71" s="303" t="str">
        <f t="shared" si="0"/>
        <v>-</v>
      </c>
    </row>
    <row r="72" spans="1:8" ht="26.25" customHeight="1" x14ac:dyDescent="0.4">
      <c r="A72" s="230"/>
      <c r="B72" s="230"/>
      <c r="C72" s="230"/>
      <c r="D72" s="230"/>
      <c r="E72" s="230"/>
      <c r="F72" s="230"/>
      <c r="G72" s="304" t="s">
        <v>60</v>
      </c>
      <c r="H72" s="305">
        <f>AVERAGE(H60:H71)</f>
        <v>0.97585542992487873</v>
      </c>
    </row>
    <row r="73" spans="1:8" ht="26.25" customHeight="1" x14ac:dyDescent="0.4">
      <c r="C73" s="230"/>
      <c r="D73" s="230"/>
      <c r="E73" s="230"/>
      <c r="F73" s="230"/>
      <c r="G73" s="278" t="s">
        <v>71</v>
      </c>
      <c r="H73" s="306">
        <f>STDEV(H60:H71)/H72</f>
        <v>1.3333957508494722E-2</v>
      </c>
    </row>
    <row r="74" spans="1:8" ht="27" customHeight="1" x14ac:dyDescent="0.4">
      <c r="A74" s="230"/>
      <c r="B74" s="230"/>
      <c r="C74" s="230"/>
      <c r="D74" s="230"/>
      <c r="E74" s="236"/>
      <c r="F74" s="230"/>
      <c r="G74" s="280" t="s">
        <v>19</v>
      </c>
      <c r="H74" s="307">
        <f>COUNT(H60:H71)</f>
        <v>9</v>
      </c>
    </row>
    <row r="75" spans="1:8" ht="18.75" x14ac:dyDescent="0.3">
      <c r="A75" s="230"/>
      <c r="B75" s="230"/>
      <c r="C75" s="230"/>
      <c r="D75" s="230"/>
      <c r="E75" s="236"/>
      <c r="F75" s="230"/>
      <c r="G75" s="226"/>
      <c r="H75" s="230"/>
    </row>
    <row r="76" spans="1:8" ht="18.75" x14ac:dyDescent="0.3">
      <c r="A76" s="226" t="s">
        <v>86</v>
      </c>
      <c r="B76" s="226" t="s">
        <v>87</v>
      </c>
      <c r="C76" s="438" t="str">
        <f>B20</f>
        <v>Artemether 80mg, Lumefantrine 480mg</v>
      </c>
      <c r="D76" s="438"/>
      <c r="E76" s="220" t="s">
        <v>88</v>
      </c>
      <c r="F76" s="220"/>
      <c r="G76" s="308">
        <f>H72</f>
        <v>0.97585542992487873</v>
      </c>
      <c r="H76" s="230"/>
    </row>
    <row r="77" spans="1:8" ht="18.75" x14ac:dyDescent="0.3">
      <c r="A77" s="230"/>
      <c r="B77" s="230"/>
      <c r="C77" s="230"/>
      <c r="D77" s="230"/>
      <c r="E77" s="236"/>
      <c r="F77" s="230"/>
      <c r="G77" s="226"/>
      <c r="H77" s="230"/>
    </row>
    <row r="78" spans="1:8" ht="26.25" customHeight="1" x14ac:dyDescent="0.4">
      <c r="A78" s="225" t="s">
        <v>89</v>
      </c>
      <c r="B78" s="225" t="s">
        <v>90</v>
      </c>
      <c r="D78" s="309" t="s">
        <v>91</v>
      </c>
    </row>
    <row r="79" spans="1:8" ht="18.75" x14ac:dyDescent="0.3">
      <c r="A79" s="225"/>
      <c r="B79" s="225"/>
    </row>
    <row r="80" spans="1:8" ht="26.25" customHeight="1" x14ac:dyDescent="0.4">
      <c r="A80" s="226" t="s">
        <v>4</v>
      </c>
      <c r="B80" s="227" t="str">
        <f>B26</f>
        <v xml:space="preserve">Lumefantrine </v>
      </c>
      <c r="C80" s="310"/>
    </row>
    <row r="81" spans="1:12" ht="26.25" customHeight="1" x14ac:dyDescent="0.4">
      <c r="A81" s="226" t="s">
        <v>44</v>
      </c>
      <c r="B81" s="227" t="str">
        <f>B27</f>
        <v>WS/14/046</v>
      </c>
    </row>
    <row r="82" spans="1:12" ht="27" customHeight="1" x14ac:dyDescent="0.4">
      <c r="A82" s="226" t="s">
        <v>6</v>
      </c>
      <c r="B82" s="227">
        <f>B28</f>
        <v>100.2</v>
      </c>
    </row>
    <row r="83" spans="1:12" s="228" customFormat="1" ht="27" customHeight="1" x14ac:dyDescent="0.4">
      <c r="A83" s="226" t="s">
        <v>45</v>
      </c>
      <c r="B83" s="227">
        <f>B29</f>
        <v>0</v>
      </c>
      <c r="C83" s="424" t="s">
        <v>46</v>
      </c>
      <c r="D83" s="425"/>
      <c r="E83" s="425"/>
      <c r="F83" s="425"/>
      <c r="G83" s="426"/>
      <c r="I83" s="229"/>
      <c r="J83" s="229"/>
      <c r="K83" s="229"/>
      <c r="L83" s="229"/>
    </row>
    <row r="84" spans="1:12" s="228" customFormat="1" ht="18.75" x14ac:dyDescent="0.3">
      <c r="A84" s="226" t="s">
        <v>47</v>
      </c>
      <c r="B84" s="230">
        <f>B82-B83</f>
        <v>100.2</v>
      </c>
      <c r="C84" s="231"/>
      <c r="D84" s="231"/>
      <c r="E84" s="231"/>
      <c r="F84" s="231"/>
      <c r="G84" s="232"/>
      <c r="I84" s="229"/>
      <c r="J84" s="229"/>
      <c r="K84" s="229"/>
      <c r="L84" s="229"/>
    </row>
    <row r="85" spans="1:12" s="228" customFormat="1" ht="19.5" customHeight="1" x14ac:dyDescent="0.3">
      <c r="A85" s="226"/>
      <c r="B85" s="230"/>
      <c r="C85" s="231"/>
      <c r="D85" s="231"/>
      <c r="E85" s="231"/>
      <c r="F85" s="231"/>
      <c r="G85" s="232"/>
      <c r="I85" s="229"/>
      <c r="J85" s="229"/>
      <c r="K85" s="229"/>
      <c r="L85" s="229"/>
    </row>
    <row r="86" spans="1:12" s="228" customFormat="1" ht="27" customHeight="1" x14ac:dyDescent="0.4">
      <c r="A86" s="226" t="s">
        <v>48</v>
      </c>
      <c r="B86" s="233">
        <v>1</v>
      </c>
      <c r="C86" s="418" t="s">
        <v>49</v>
      </c>
      <c r="D86" s="419"/>
      <c r="E86" s="419"/>
      <c r="F86" s="419"/>
      <c r="G86" s="419"/>
      <c r="H86" s="420"/>
      <c r="I86" s="229"/>
      <c r="J86" s="229"/>
      <c r="K86" s="229"/>
      <c r="L86" s="229"/>
    </row>
    <row r="87" spans="1:12" s="228" customFormat="1" ht="27" customHeight="1" x14ac:dyDescent="0.4">
      <c r="A87" s="226" t="s">
        <v>50</v>
      </c>
      <c r="B87" s="233">
        <v>1</v>
      </c>
      <c r="C87" s="418" t="s">
        <v>51</v>
      </c>
      <c r="D87" s="419"/>
      <c r="E87" s="419"/>
      <c r="F87" s="419"/>
      <c r="G87" s="419"/>
      <c r="H87" s="420"/>
      <c r="I87" s="229"/>
      <c r="J87" s="229"/>
      <c r="K87" s="229"/>
      <c r="L87" s="229"/>
    </row>
    <row r="88" spans="1:12" s="228" customFormat="1" ht="18.75" x14ac:dyDescent="0.3">
      <c r="A88" s="226"/>
      <c r="B88" s="230"/>
      <c r="C88" s="231"/>
      <c r="D88" s="231"/>
      <c r="E88" s="231"/>
      <c r="F88" s="231"/>
      <c r="G88" s="232"/>
      <c r="I88" s="229"/>
      <c r="J88" s="229"/>
      <c r="K88" s="229"/>
      <c r="L88" s="229"/>
    </row>
    <row r="89" spans="1:12" ht="18.75" x14ac:dyDescent="0.3">
      <c r="A89" s="226" t="s">
        <v>52</v>
      </c>
      <c r="B89" s="238">
        <f>B86/B87</f>
        <v>1</v>
      </c>
      <c r="C89" s="220" t="s">
        <v>53</v>
      </c>
    </row>
    <row r="90" spans="1:12" ht="19.5" customHeight="1" x14ac:dyDescent="0.3">
      <c r="A90" s="226"/>
      <c r="B90" s="238"/>
    </row>
    <row r="91" spans="1:12" ht="27" customHeight="1" x14ac:dyDescent="0.4">
      <c r="A91" s="239" t="s">
        <v>54</v>
      </c>
      <c r="B91" s="240">
        <v>50</v>
      </c>
      <c r="D91" s="311" t="s">
        <v>55</v>
      </c>
      <c r="E91" s="312"/>
      <c r="F91" s="427" t="s">
        <v>56</v>
      </c>
      <c r="G91" s="428"/>
    </row>
    <row r="92" spans="1:12" ht="26.25" customHeight="1" x14ac:dyDescent="0.4">
      <c r="A92" s="241" t="s">
        <v>125</v>
      </c>
      <c r="B92" s="242">
        <v>5</v>
      </c>
      <c r="C92" s="313" t="s">
        <v>57</v>
      </c>
      <c r="D92" s="244" t="s">
        <v>58</v>
      </c>
      <c r="E92" s="245" t="s">
        <v>59</v>
      </c>
      <c r="F92" s="244" t="s">
        <v>58</v>
      </c>
      <c r="G92" s="246" t="s">
        <v>59</v>
      </c>
    </row>
    <row r="93" spans="1:12" ht="26.25" customHeight="1" x14ac:dyDescent="0.4">
      <c r="A93" s="241" t="s">
        <v>126</v>
      </c>
      <c r="B93" s="242">
        <v>100</v>
      </c>
      <c r="C93" s="314">
        <v>1</v>
      </c>
      <c r="D93" s="250">
        <v>0.69330000000000003</v>
      </c>
      <c r="E93" s="249">
        <f>IF(ISBLANK(D93),"-",$D$103/$D$100*D93)</f>
        <v>0.67122021115408637</v>
      </c>
      <c r="F93" s="250">
        <v>0.7298</v>
      </c>
      <c r="G93" s="251">
        <f>IF(ISBLANK(F93),"-",$D$103/$F$100*F93)</f>
        <v>0.6638906008719363</v>
      </c>
    </row>
    <row r="94" spans="1:12" ht="26.25" customHeight="1" x14ac:dyDescent="0.4">
      <c r="A94" s="241" t="s">
        <v>127</v>
      </c>
      <c r="B94" s="242">
        <v>1</v>
      </c>
      <c r="C94" s="230">
        <v>2</v>
      </c>
      <c r="D94" s="290">
        <v>0.69730000000000003</v>
      </c>
      <c r="E94" s="253">
        <f>IF(ISBLANK(D94),"-",$D$103/$D$100*D94)</f>
        <v>0.67509282163240225</v>
      </c>
      <c r="F94" s="290">
        <v>0.72430000000000005</v>
      </c>
      <c r="G94" s="254">
        <f>IF(ISBLANK(F94),"-",$D$103/$F$100*F94)</f>
        <v>0.6588873146225589</v>
      </c>
    </row>
    <row r="95" spans="1:12" ht="26.25" customHeight="1" x14ac:dyDescent="0.4">
      <c r="A95" s="241" t="s">
        <v>128</v>
      </c>
      <c r="B95" s="242">
        <v>1</v>
      </c>
      <c r="C95" s="230">
        <v>3</v>
      </c>
      <c r="D95" s="290">
        <v>0.69420000000000004</v>
      </c>
      <c r="E95" s="253">
        <f>IF(ISBLANK(D95),"-",$D$103/$D$100*D95)</f>
        <v>0.67209154851170749</v>
      </c>
      <c r="F95" s="290">
        <v>0.7248</v>
      </c>
      <c r="G95" s="254">
        <f>IF(ISBLANK(F95),"-",$D$103/$F$100*F95)</f>
        <v>0.65934215882704772</v>
      </c>
    </row>
    <row r="96" spans="1:12" ht="26.25" customHeight="1" x14ac:dyDescent="0.4">
      <c r="A96" s="241" t="s">
        <v>129</v>
      </c>
      <c r="B96" s="242">
        <v>1</v>
      </c>
      <c r="C96" s="315">
        <v>4</v>
      </c>
      <c r="D96" s="316"/>
      <c r="E96" s="256" t="str">
        <f>IF(ISBLANK(D96),"-",$D$103/$D$100*D96)</f>
        <v>-</v>
      </c>
      <c r="F96" s="317"/>
      <c r="G96" s="257" t="str">
        <f>IF(ISBLANK(F96),"-",$D$103/$F$100*F96)</f>
        <v>-</v>
      </c>
    </row>
    <row r="97" spans="1:10" ht="27" customHeight="1" x14ac:dyDescent="0.4">
      <c r="A97" s="241" t="s">
        <v>130</v>
      </c>
      <c r="B97" s="242">
        <v>1</v>
      </c>
      <c r="C97" s="226" t="s">
        <v>60</v>
      </c>
      <c r="D97" s="365">
        <f>AVERAGE(D93:D96)</f>
        <v>0.69493333333333329</v>
      </c>
      <c r="E97" s="368">
        <f>AVERAGE(E93:E96)</f>
        <v>0.67280152709939867</v>
      </c>
      <c r="F97" s="366">
        <f>AVERAGE(F93:F96)</f>
        <v>0.72630000000000006</v>
      </c>
      <c r="G97" s="367">
        <f>AVERAGE(G93:G96)</f>
        <v>0.6607066914405143</v>
      </c>
    </row>
    <row r="98" spans="1:10" ht="26.25" customHeight="1" x14ac:dyDescent="0.4">
      <c r="A98" s="241" t="s">
        <v>131</v>
      </c>
      <c r="B98" s="227">
        <v>1</v>
      </c>
      <c r="C98" s="263" t="s">
        <v>61</v>
      </c>
      <c r="D98" s="318">
        <v>24.74</v>
      </c>
      <c r="E98" s="220"/>
      <c r="F98" s="264">
        <v>26.33</v>
      </c>
    </row>
    <row r="99" spans="1:10" ht="26.25" customHeight="1" x14ac:dyDescent="0.4">
      <c r="A99" s="241" t="s">
        <v>132</v>
      </c>
      <c r="B99" s="227">
        <v>1</v>
      </c>
      <c r="C99" s="265" t="s">
        <v>62</v>
      </c>
      <c r="D99" s="266">
        <f>D98*$B$89</f>
        <v>24.74</v>
      </c>
      <c r="E99" s="230"/>
      <c r="F99" s="267">
        <f>F98*$B$89</f>
        <v>26.33</v>
      </c>
    </row>
    <row r="100" spans="1:10" ht="19.5" customHeight="1" x14ac:dyDescent="0.3">
      <c r="A100" s="241" t="s">
        <v>63</v>
      </c>
      <c r="B100" s="230">
        <f>(B99/B98)*(B97/B96)*(B95/B94)*(B93/B92)*B91</f>
        <v>1000</v>
      </c>
      <c r="C100" s="265" t="s">
        <v>64</v>
      </c>
      <c r="D100" s="268">
        <f>D99*$B$84/100</f>
        <v>24.789479999999998</v>
      </c>
      <c r="E100" s="236"/>
      <c r="F100" s="269">
        <f>F99*$B$84/100</f>
        <v>26.382660000000001</v>
      </c>
    </row>
    <row r="101" spans="1:10" ht="19.5" customHeight="1" x14ac:dyDescent="0.3">
      <c r="A101" s="430" t="s">
        <v>65</v>
      </c>
      <c r="B101" s="431"/>
      <c r="C101" s="265" t="s">
        <v>66</v>
      </c>
      <c r="D101" s="319">
        <f>D100/$B$100</f>
        <v>2.4789479999999999E-2</v>
      </c>
      <c r="E101" s="236"/>
      <c r="F101" s="320">
        <f>F100/$B$100</f>
        <v>2.6382660000000002E-2</v>
      </c>
      <c r="H101" s="262"/>
    </row>
    <row r="102" spans="1:10" ht="19.5" customHeight="1" x14ac:dyDescent="0.3">
      <c r="A102" s="432"/>
      <c r="B102" s="433"/>
      <c r="C102" s="265" t="s">
        <v>67</v>
      </c>
      <c r="D102" s="321">
        <f>$B$56/$B$118</f>
        <v>2.4E-2</v>
      </c>
      <c r="F102" s="272"/>
      <c r="G102" s="322"/>
      <c r="H102" s="262"/>
    </row>
    <row r="103" spans="1:10" ht="18.75" x14ac:dyDescent="0.3">
      <c r="C103" s="265" t="s">
        <v>68</v>
      </c>
      <c r="D103" s="266">
        <f>D102*$B$100</f>
        <v>24</v>
      </c>
      <c r="F103" s="272"/>
      <c r="H103" s="262"/>
    </row>
    <row r="104" spans="1:10" ht="19.5" customHeight="1" x14ac:dyDescent="0.3">
      <c r="C104" s="273" t="s">
        <v>69</v>
      </c>
      <c r="D104" s="274">
        <f>D103/B34</f>
        <v>24</v>
      </c>
      <c r="F104" s="275"/>
      <c r="H104" s="262"/>
      <c r="J104" s="323"/>
    </row>
    <row r="105" spans="1:10" ht="18.75" x14ac:dyDescent="0.3">
      <c r="C105" s="276" t="s">
        <v>70</v>
      </c>
      <c r="D105" s="277">
        <f>AVERAGE(E93:E96,G93:G96)</f>
        <v>0.6667541092699566</v>
      </c>
      <c r="F105" s="275"/>
      <c r="G105" s="322"/>
      <c r="H105" s="262"/>
      <c r="J105" s="324"/>
    </row>
    <row r="106" spans="1:10" ht="18.75" x14ac:dyDescent="0.3">
      <c r="C106" s="278" t="s">
        <v>71</v>
      </c>
      <c r="D106" s="279">
        <f>STDEV(E93:E96,G93:G96)/D105</f>
        <v>1.0455502808277992E-2</v>
      </c>
      <c r="F106" s="275"/>
      <c r="H106" s="262"/>
      <c r="J106" s="324"/>
    </row>
    <row r="107" spans="1:10" ht="19.5" customHeight="1" x14ac:dyDescent="0.3">
      <c r="C107" s="280" t="s">
        <v>19</v>
      </c>
      <c r="D107" s="281">
        <f>COUNT(E93:E96,G93:G96)</f>
        <v>6</v>
      </c>
      <c r="F107" s="275"/>
      <c r="H107" s="262"/>
      <c r="J107" s="324"/>
    </row>
    <row r="108" spans="1:10" ht="19.5" customHeight="1" x14ac:dyDescent="0.3">
      <c r="A108" s="219"/>
      <c r="B108" s="219"/>
      <c r="C108" s="219"/>
      <c r="D108" s="219"/>
      <c r="E108" s="219"/>
    </row>
    <row r="109" spans="1:10" ht="26.25" customHeight="1" x14ac:dyDescent="0.4">
      <c r="A109" s="239" t="s">
        <v>92</v>
      </c>
      <c r="B109" s="240">
        <v>1000</v>
      </c>
      <c r="C109" s="311" t="s">
        <v>93</v>
      </c>
      <c r="D109" s="325" t="s">
        <v>58</v>
      </c>
      <c r="E109" s="326" t="s">
        <v>94</v>
      </c>
      <c r="F109" s="327" t="s">
        <v>95</v>
      </c>
    </row>
    <row r="110" spans="1:10" ht="26.25" customHeight="1" x14ac:dyDescent="0.4">
      <c r="A110" s="241" t="s">
        <v>133</v>
      </c>
      <c r="B110" s="242">
        <v>5</v>
      </c>
      <c r="C110" s="328">
        <v>1</v>
      </c>
      <c r="D110" s="329">
        <v>0.44180000000000003</v>
      </c>
      <c r="E110" s="330">
        <f t="shared" ref="E110:E115" si="1">IF(ISBLANK(D110),"-",D110/$D$105*$D$102*$B$118)</f>
        <v>318.05428275829217</v>
      </c>
      <c r="F110" s="331">
        <f t="shared" ref="F110:F115" si="2">IF(ISBLANK(D110), "-", E110/$B$56)</f>
        <v>0.66261308907977534</v>
      </c>
    </row>
    <row r="111" spans="1:10" ht="26.25" customHeight="1" x14ac:dyDescent="0.4">
      <c r="A111" s="241" t="s">
        <v>134</v>
      </c>
      <c r="B111" s="242">
        <v>100</v>
      </c>
      <c r="C111" s="328">
        <v>2</v>
      </c>
      <c r="D111" s="329">
        <v>0.46089999999999998</v>
      </c>
      <c r="E111" s="332">
        <f t="shared" si="1"/>
        <v>331.80447922882945</v>
      </c>
      <c r="F111" s="333">
        <f t="shared" si="2"/>
        <v>0.69125933172672804</v>
      </c>
    </row>
    <row r="112" spans="1:10" ht="26.25" customHeight="1" x14ac:dyDescent="0.4">
      <c r="A112" s="241" t="s">
        <v>135</v>
      </c>
      <c r="B112" s="242">
        <v>1</v>
      </c>
      <c r="C112" s="328">
        <v>3</v>
      </c>
      <c r="D112" s="329">
        <v>0.44919999999999999</v>
      </c>
      <c r="E112" s="332">
        <f t="shared" si="1"/>
        <v>323.38158400865734</v>
      </c>
      <c r="F112" s="333">
        <f t="shared" si="2"/>
        <v>0.67371163335136941</v>
      </c>
    </row>
    <row r="113" spans="1:10" ht="26.25" customHeight="1" x14ac:dyDescent="0.4">
      <c r="A113" s="241" t="s">
        <v>136</v>
      </c>
      <c r="B113" s="242">
        <v>1</v>
      </c>
      <c r="C113" s="328">
        <v>4</v>
      </c>
      <c r="D113" s="329">
        <v>0.45760000000000001</v>
      </c>
      <c r="E113" s="332">
        <f t="shared" si="1"/>
        <v>329.42879083339631</v>
      </c>
      <c r="F113" s="333">
        <f t="shared" si="2"/>
        <v>0.68630998090290896</v>
      </c>
    </row>
    <row r="114" spans="1:10" ht="26.25" customHeight="1" x14ac:dyDescent="0.4">
      <c r="A114" s="241" t="s">
        <v>137</v>
      </c>
      <c r="B114" s="242">
        <v>1</v>
      </c>
      <c r="C114" s="328">
        <v>5</v>
      </c>
      <c r="D114" s="329">
        <v>0.44540000000000002</v>
      </c>
      <c r="E114" s="332">
        <f t="shared" si="1"/>
        <v>320.64594282603741</v>
      </c>
      <c r="F114" s="333">
        <f t="shared" si="2"/>
        <v>0.66801238088757797</v>
      </c>
    </row>
    <row r="115" spans="1:10" ht="26.25" customHeight="1" x14ac:dyDescent="0.4">
      <c r="A115" s="241" t="s">
        <v>138</v>
      </c>
      <c r="B115" s="242">
        <v>1</v>
      </c>
      <c r="C115" s="334">
        <v>6</v>
      </c>
      <c r="D115" s="335">
        <v>0.48089999999999999</v>
      </c>
      <c r="E115" s="336">
        <f t="shared" si="1"/>
        <v>346.20259071630306</v>
      </c>
      <c r="F115" s="337">
        <f t="shared" si="2"/>
        <v>0.72125539732563138</v>
      </c>
    </row>
    <row r="116" spans="1:10" ht="26.25" customHeight="1" x14ac:dyDescent="0.4">
      <c r="A116" s="241" t="s">
        <v>139</v>
      </c>
      <c r="B116" s="242">
        <v>1</v>
      </c>
      <c r="C116" s="328"/>
      <c r="D116" s="230"/>
      <c r="E116" s="220"/>
      <c r="F116" s="338"/>
    </row>
    <row r="117" spans="1:10" ht="26.25" customHeight="1" x14ac:dyDescent="0.4">
      <c r="A117" s="241" t="s">
        <v>140</v>
      </c>
      <c r="B117" s="242">
        <v>1</v>
      </c>
      <c r="C117" s="328"/>
      <c r="D117" s="275"/>
      <c r="E117" s="339" t="s">
        <v>60</v>
      </c>
      <c r="F117" s="340">
        <f>AVERAGE(F110:F115)</f>
        <v>0.68386030221233185</v>
      </c>
    </row>
    <row r="118" spans="1:10" ht="19.5" customHeight="1" x14ac:dyDescent="0.3">
      <c r="A118" s="241" t="s">
        <v>83</v>
      </c>
      <c r="B118" s="252">
        <f>(B117/B116)*(B115/B114)*(B113/B112)*(B111/B110)*B109</f>
        <v>20000</v>
      </c>
      <c r="C118" s="341"/>
      <c r="D118" s="342"/>
      <c r="E118" s="226" t="s">
        <v>71</v>
      </c>
      <c r="F118" s="343">
        <f>STDEV(F110:F115)/F117</f>
        <v>3.1121203410447454E-2</v>
      </c>
      <c r="I118" s="220"/>
    </row>
    <row r="119" spans="1:10" ht="19.5" customHeight="1" x14ac:dyDescent="0.3">
      <c r="A119" s="430" t="s">
        <v>65</v>
      </c>
      <c r="B119" s="445"/>
      <c r="C119" s="344"/>
      <c r="D119" s="345"/>
      <c r="E119" s="346" t="s">
        <v>19</v>
      </c>
      <c r="F119" s="281">
        <f>COUNT(F110:F115)</f>
        <v>6</v>
      </c>
      <c r="I119" s="220"/>
      <c r="J119" s="324"/>
    </row>
    <row r="120" spans="1:10" ht="19.5" customHeight="1" x14ac:dyDescent="0.3">
      <c r="A120" s="432"/>
      <c r="B120" s="446"/>
      <c r="C120" s="220"/>
      <c r="D120" s="220"/>
      <c r="E120" s="220"/>
      <c r="F120" s="230"/>
      <c r="G120" s="220"/>
      <c r="H120" s="220"/>
      <c r="I120" s="220"/>
    </row>
    <row r="121" spans="1:10" ht="18.75" x14ac:dyDescent="0.3">
      <c r="A121" s="237"/>
      <c r="B121" s="237"/>
      <c r="C121" s="220"/>
      <c r="D121" s="220"/>
      <c r="E121" s="220"/>
      <c r="F121" s="230"/>
      <c r="G121" s="220"/>
      <c r="H121" s="220"/>
      <c r="I121" s="220"/>
    </row>
    <row r="122" spans="1:10" ht="18.75" x14ac:dyDescent="0.3">
      <c r="A122" s="226" t="s">
        <v>86</v>
      </c>
      <c r="B122" s="226" t="s">
        <v>87</v>
      </c>
      <c r="C122" s="438" t="str">
        <f>B20</f>
        <v>Artemether 80mg, Lumefantrine 480mg</v>
      </c>
      <c r="D122" s="438"/>
      <c r="E122" s="220" t="s">
        <v>96</v>
      </c>
      <c r="F122" s="220"/>
      <c r="G122" s="308">
        <f>F117</f>
        <v>0.68386030221233185</v>
      </c>
      <c r="H122" s="220"/>
      <c r="I122" s="220"/>
    </row>
    <row r="123" spans="1:10" ht="18.75" x14ac:dyDescent="0.3">
      <c r="A123" s="237"/>
      <c r="B123" s="237"/>
      <c r="C123" s="220"/>
      <c r="D123" s="220"/>
      <c r="E123" s="220"/>
      <c r="F123" s="230"/>
      <c r="G123" s="220"/>
      <c r="H123" s="220"/>
      <c r="I123" s="220"/>
    </row>
    <row r="124" spans="1:10" ht="18.75" x14ac:dyDescent="0.3">
      <c r="A124" s="226"/>
      <c r="B124" s="226"/>
      <c r="C124" s="230"/>
      <c r="D124" s="230"/>
      <c r="E124" s="220"/>
      <c r="F124" s="220"/>
      <c r="G124" s="308"/>
      <c r="H124" s="220"/>
      <c r="I124" s="220"/>
    </row>
    <row r="125" spans="1:10" ht="19.5" customHeight="1" x14ac:dyDescent="0.3">
      <c r="A125" s="347"/>
      <c r="B125" s="347"/>
      <c r="C125" s="348"/>
      <c r="D125" s="348"/>
      <c r="E125" s="348"/>
      <c r="F125" s="348"/>
      <c r="G125" s="348"/>
      <c r="H125" s="348"/>
    </row>
    <row r="126" spans="1:10" ht="18.75" x14ac:dyDescent="0.3">
      <c r="B126" s="447" t="s">
        <v>22</v>
      </c>
      <c r="C126" s="447"/>
      <c r="E126" s="313" t="s">
        <v>23</v>
      </c>
      <c r="F126" s="313"/>
      <c r="G126" s="447" t="s">
        <v>24</v>
      </c>
      <c r="H126" s="447"/>
    </row>
    <row r="127" spans="1:10" ht="45" customHeight="1" x14ac:dyDescent="0.3">
      <c r="A127" s="226" t="s">
        <v>25</v>
      </c>
      <c r="B127" s="349"/>
      <c r="C127" s="349"/>
      <c r="E127" s="350"/>
      <c r="F127" s="220"/>
      <c r="G127" s="350"/>
      <c r="H127" s="350"/>
    </row>
    <row r="128" spans="1:10" ht="47.25" customHeight="1" x14ac:dyDescent="0.3">
      <c r="A128" s="226" t="s">
        <v>26</v>
      </c>
      <c r="B128" s="351"/>
      <c r="C128" s="351"/>
      <c r="E128" s="352"/>
      <c r="F128" s="220"/>
      <c r="G128" s="352"/>
      <c r="H128" s="352"/>
    </row>
    <row r="129" spans="1:9" ht="18.75" x14ac:dyDescent="0.3">
      <c r="A129" s="230"/>
      <c r="B129" s="230"/>
      <c r="C129" s="230"/>
      <c r="D129" s="230"/>
      <c r="E129" s="230"/>
      <c r="F129" s="236"/>
      <c r="G129" s="230"/>
      <c r="H129" s="230"/>
      <c r="I129" s="220"/>
    </row>
    <row r="130" spans="1:9" ht="18.75" x14ac:dyDescent="0.3">
      <c r="A130" s="230"/>
      <c r="B130" s="230"/>
      <c r="C130" s="230"/>
      <c r="D130" s="230"/>
      <c r="E130" s="230"/>
      <c r="F130" s="236"/>
      <c r="G130" s="230"/>
      <c r="H130" s="230"/>
      <c r="I130" s="220"/>
    </row>
    <row r="131" spans="1:9" ht="18.75" x14ac:dyDescent="0.3">
      <c r="A131" s="230"/>
      <c r="B131" s="230"/>
      <c r="C131" s="230"/>
      <c r="D131" s="230"/>
      <c r="E131" s="230"/>
      <c r="F131" s="236"/>
      <c r="G131" s="230"/>
      <c r="H131" s="230"/>
      <c r="I131" s="220"/>
    </row>
    <row r="132" spans="1:9" ht="18.75" x14ac:dyDescent="0.3">
      <c r="A132" s="230"/>
      <c r="B132" s="230"/>
      <c r="C132" s="230"/>
      <c r="D132" s="230"/>
      <c r="E132" s="230"/>
      <c r="F132" s="236"/>
      <c r="G132" s="230"/>
      <c r="H132" s="230"/>
      <c r="I132" s="220"/>
    </row>
    <row r="133" spans="1:9" ht="18.75" x14ac:dyDescent="0.3">
      <c r="A133" s="230"/>
      <c r="B133" s="230"/>
      <c r="C133" s="230"/>
      <c r="D133" s="230"/>
      <c r="E133" s="230"/>
      <c r="F133" s="236"/>
      <c r="G133" s="230"/>
      <c r="H133" s="230"/>
      <c r="I133" s="220"/>
    </row>
    <row r="134" spans="1:9" ht="18.75" x14ac:dyDescent="0.3">
      <c r="A134" s="230"/>
      <c r="B134" s="230"/>
      <c r="C134" s="230"/>
      <c r="D134" s="230"/>
      <c r="E134" s="230"/>
      <c r="F134" s="236"/>
      <c r="G134" s="230"/>
      <c r="H134" s="230"/>
      <c r="I134" s="220"/>
    </row>
    <row r="135" spans="1:9" ht="18.75" x14ac:dyDescent="0.3">
      <c r="A135" s="230"/>
      <c r="B135" s="230"/>
      <c r="C135" s="230"/>
      <c r="D135" s="230"/>
      <c r="E135" s="230"/>
      <c r="F135" s="236"/>
      <c r="G135" s="230"/>
      <c r="H135" s="230"/>
      <c r="I135" s="220"/>
    </row>
    <row r="136" spans="1:9" ht="18.75" x14ac:dyDescent="0.3">
      <c r="A136" s="230"/>
      <c r="B136" s="230"/>
      <c r="C136" s="230"/>
      <c r="D136" s="230"/>
      <c r="E136" s="230"/>
      <c r="F136" s="236"/>
      <c r="G136" s="230"/>
      <c r="H136" s="230"/>
      <c r="I136" s="220"/>
    </row>
    <row r="137" spans="1:9" ht="18.75" x14ac:dyDescent="0.3">
      <c r="A137" s="230"/>
      <c r="B137" s="230"/>
      <c r="C137" s="230"/>
      <c r="D137" s="230"/>
      <c r="E137" s="230"/>
      <c r="F137" s="236"/>
      <c r="G137" s="230"/>
      <c r="H137" s="230"/>
      <c r="I137" s="220"/>
    </row>
    <row r="200" spans="1:1" x14ac:dyDescent="0.3">
      <c r="A200" s="217">
        <v>0</v>
      </c>
    </row>
  </sheetData>
  <sheetProtection formatCells="0" formatColumns="0" formatRows="0" insertColumns="0" insertRows="0" insertHyperlinks="0" deleteColumns="0" deleteRows="0" sort="0" autoFilter="0" pivotTables="0"/>
  <mergeCells count="29">
    <mergeCell ref="F91:G91"/>
    <mergeCell ref="C68:C71"/>
    <mergeCell ref="A101:B102"/>
    <mergeCell ref="A119:B120"/>
    <mergeCell ref="B126:C126"/>
    <mergeCell ref="G126:H126"/>
    <mergeCell ref="C122:D122"/>
    <mergeCell ref="C76:D76"/>
    <mergeCell ref="D60:D63"/>
    <mergeCell ref="C60:C63"/>
    <mergeCell ref="C64:C67"/>
    <mergeCell ref="D68:D71"/>
    <mergeCell ref="D64:D67"/>
    <mergeCell ref="A1:H7"/>
    <mergeCell ref="A8:H14"/>
    <mergeCell ref="A16:H16"/>
    <mergeCell ref="C86:H86"/>
    <mergeCell ref="C87:H87"/>
    <mergeCell ref="B18:C18"/>
    <mergeCell ref="B26:C26"/>
    <mergeCell ref="B27:C27"/>
    <mergeCell ref="C29:G29"/>
    <mergeCell ref="F36:G36"/>
    <mergeCell ref="C31:H31"/>
    <mergeCell ref="C32:H32"/>
    <mergeCell ref="D36:E36"/>
    <mergeCell ref="A46:B47"/>
    <mergeCell ref="C83:G83"/>
    <mergeCell ref="A70:B71"/>
  </mergeCells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ARTEMETHER </vt:lpstr>
      <vt:lpstr>LUMEFANTRINE</vt:lpstr>
      <vt:lpstr>'ARTEMETHER '!Print_Area</vt:lpstr>
      <vt:lpstr>LUMEFANTRINE!Print_Area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2015-12-23T07:21:44Z</cp:lastPrinted>
  <dcterms:created xsi:type="dcterms:W3CDTF">2005-07-05T10:19:27Z</dcterms:created>
  <dcterms:modified xsi:type="dcterms:W3CDTF">2015-12-23T10:23:59Z</dcterms:modified>
  <cp:category/>
</cp:coreProperties>
</file>