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ARTEMETHER " sheetId="5" r:id="rId3"/>
    <sheet name="LUMEFANTRINE" sheetId="4" r:id="rId4"/>
  </sheets>
  <definedNames>
    <definedName name="_xlnm.Print_Area" localSheetId="2">'ARTEMETHER '!$A$1:$I$142</definedName>
    <definedName name="_xlnm.Print_Area" localSheetId="3">LUMEFANTRINE!$A$1:$I$129</definedName>
    <definedName name="_xlnm.Print_Area" localSheetId="1">Uniformity!$A$1:$G$59</definedName>
  </definedNames>
  <calcPr calcId="144525"/>
</workbook>
</file>

<file path=xl/calcChain.xml><?xml version="1.0" encoding="utf-8"?>
<calcChain xmlns="http://schemas.openxmlformats.org/spreadsheetml/2006/main">
  <c r="B55" i="1" l="1"/>
  <c r="B53" i="1"/>
  <c r="B52" i="1"/>
  <c r="B67" i="1"/>
  <c r="E65" i="1"/>
  <c r="D65" i="1"/>
  <c r="C65" i="1"/>
  <c r="B65" i="1"/>
  <c r="B66" i="1" s="1"/>
  <c r="B34" i="1" l="1"/>
  <c r="B33" i="1"/>
  <c r="B32" i="1"/>
  <c r="B31" i="1"/>
  <c r="B13" i="1"/>
  <c r="B12" i="1"/>
  <c r="B11" i="1"/>
  <c r="B10" i="1"/>
  <c r="B9" i="1"/>
  <c r="H71" i="4"/>
  <c r="G71" i="4"/>
  <c r="H67" i="4"/>
  <c r="G67" i="4"/>
  <c r="H63" i="4"/>
  <c r="G63" i="4"/>
  <c r="F42" i="4"/>
  <c r="D42" i="4"/>
  <c r="G41" i="4"/>
  <c r="E41" i="4"/>
  <c r="C19" i="2"/>
  <c r="C18" i="2"/>
  <c r="F42" i="5"/>
  <c r="D42" i="5"/>
  <c r="G41" i="5"/>
  <c r="E41" i="5"/>
  <c r="F96" i="5" l="1"/>
  <c r="D96" i="5"/>
  <c r="G95" i="5"/>
  <c r="E95" i="5"/>
  <c r="B30" i="5"/>
  <c r="C138" i="5"/>
  <c r="B134" i="5"/>
  <c r="C121" i="5"/>
  <c r="B117" i="5"/>
  <c r="D101" i="5" s="1"/>
  <c r="B99" i="5"/>
  <c r="D98" i="5"/>
  <c r="B88" i="5"/>
  <c r="F98" i="5" s="1"/>
  <c r="B83" i="5"/>
  <c r="B82" i="5"/>
  <c r="B84" i="5" s="1"/>
  <c r="B81" i="5"/>
  <c r="B80" i="5"/>
  <c r="C76" i="5"/>
  <c r="H71" i="5"/>
  <c r="G71" i="5"/>
  <c r="B68" i="5"/>
  <c r="H67" i="5"/>
  <c r="G67" i="5"/>
  <c r="H63" i="5"/>
  <c r="G63" i="5"/>
  <c r="C56" i="5"/>
  <c r="B55" i="5"/>
  <c r="B45" i="5"/>
  <c r="D48" i="5" s="1"/>
  <c r="D44" i="5"/>
  <c r="B34" i="5"/>
  <c r="F44" i="5" s="1"/>
  <c r="C121" i="4"/>
  <c r="B117" i="4"/>
  <c r="D101" i="4" s="1"/>
  <c r="B99" i="4"/>
  <c r="F96" i="4"/>
  <c r="D96" i="4"/>
  <c r="G95" i="4"/>
  <c r="E95" i="4"/>
  <c r="B88" i="4"/>
  <c r="F98" i="4" s="1"/>
  <c r="B82" i="4"/>
  <c r="B81" i="4"/>
  <c r="B80" i="4"/>
  <c r="B79" i="4"/>
  <c r="C76" i="4"/>
  <c r="B68" i="4"/>
  <c r="C56" i="4"/>
  <c r="B55" i="4"/>
  <c r="B45" i="4"/>
  <c r="B34" i="4"/>
  <c r="B30" i="4"/>
  <c r="B54" i="1" s="1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B45" i="1"/>
  <c r="E43" i="1"/>
  <c r="D43" i="1"/>
  <c r="C43" i="1"/>
  <c r="B43" i="1"/>
  <c r="B44" i="1" s="1"/>
  <c r="B24" i="1"/>
  <c r="E22" i="1"/>
  <c r="D22" i="1"/>
  <c r="C22" i="1"/>
  <c r="B22" i="1"/>
  <c r="B23" i="1" s="1"/>
  <c r="D48" i="4" l="1"/>
  <c r="B56" i="1"/>
  <c r="D102" i="4"/>
  <c r="D103" i="4" s="1"/>
  <c r="B83" i="4"/>
  <c r="F99" i="4" s="1"/>
  <c r="F100" i="4" s="1"/>
  <c r="D102" i="5"/>
  <c r="D103" i="5" s="1"/>
  <c r="F45" i="5"/>
  <c r="D45" i="5"/>
  <c r="F99" i="5"/>
  <c r="B57" i="4"/>
  <c r="B69" i="4" s="1"/>
  <c r="B57" i="5"/>
  <c r="C50" i="2"/>
  <c r="F44" i="4"/>
  <c r="F45" i="4" s="1"/>
  <c r="D44" i="4"/>
  <c r="D45" i="4" s="1"/>
  <c r="D49" i="5"/>
  <c r="D99" i="5"/>
  <c r="D49" i="4"/>
  <c r="B69" i="5"/>
  <c r="D98" i="4"/>
  <c r="D99" i="4" s="1"/>
  <c r="D100" i="4" l="1"/>
  <c r="E92" i="4"/>
  <c r="D46" i="4"/>
  <c r="E39" i="4"/>
  <c r="E40" i="4"/>
  <c r="E38" i="4"/>
  <c r="G40" i="4"/>
  <c r="G38" i="4"/>
  <c r="G39" i="4"/>
  <c r="E93" i="4"/>
  <c r="E94" i="4"/>
  <c r="D46" i="5"/>
  <c r="E40" i="5"/>
  <c r="E38" i="5"/>
  <c r="E42" i="5" s="1"/>
  <c r="E39" i="5"/>
  <c r="F46" i="5"/>
  <c r="G40" i="5"/>
  <c r="G38" i="5"/>
  <c r="G39" i="5"/>
  <c r="E93" i="5"/>
  <c r="E94" i="5"/>
  <c r="E92" i="5"/>
  <c r="F100" i="5"/>
  <c r="G93" i="5"/>
  <c r="G94" i="5"/>
  <c r="G92" i="5"/>
  <c r="G94" i="4"/>
  <c r="D100" i="5"/>
  <c r="F46" i="4"/>
  <c r="G92" i="4"/>
  <c r="G93" i="4"/>
  <c r="G42" i="4" l="1"/>
  <c r="D52" i="4"/>
  <c r="E42" i="4"/>
  <c r="G96" i="4"/>
  <c r="D50" i="4"/>
  <c r="G42" i="5"/>
  <c r="G96" i="5"/>
  <c r="E96" i="5"/>
  <c r="D50" i="5"/>
  <c r="G64" i="5" s="1"/>
  <c r="H64" i="5" s="1"/>
  <c r="D52" i="5"/>
  <c r="D106" i="5"/>
  <c r="D104" i="5"/>
  <c r="D51" i="4"/>
  <c r="D104" i="4"/>
  <c r="E96" i="4"/>
  <c r="D106" i="4"/>
  <c r="G70" i="4" l="1"/>
  <c r="H70" i="4" s="1"/>
  <c r="G69" i="4"/>
  <c r="H69" i="4" s="1"/>
  <c r="G68" i="4"/>
  <c r="H68" i="4" s="1"/>
  <c r="G62" i="4"/>
  <c r="H62" i="4" s="1"/>
  <c r="G65" i="4"/>
  <c r="H65" i="4" s="1"/>
  <c r="G66" i="4"/>
  <c r="H66" i="4" s="1"/>
  <c r="G60" i="4"/>
  <c r="H60" i="4" s="1"/>
  <c r="G61" i="4"/>
  <c r="H61" i="4" s="1"/>
  <c r="G64" i="4"/>
  <c r="H64" i="4" s="1"/>
  <c r="G68" i="5"/>
  <c r="H68" i="5" s="1"/>
  <c r="G61" i="5"/>
  <c r="H61" i="5" s="1"/>
  <c r="G60" i="5"/>
  <c r="H60" i="5" s="1"/>
  <c r="G62" i="5"/>
  <c r="H62" i="5" s="1"/>
  <c r="G66" i="5"/>
  <c r="H66" i="5" s="1"/>
  <c r="G65" i="5"/>
  <c r="H65" i="5" s="1"/>
  <c r="D51" i="5"/>
  <c r="G69" i="5"/>
  <c r="H69" i="5" s="1"/>
  <c r="G70" i="5"/>
  <c r="H70" i="5" s="1"/>
  <c r="E130" i="5"/>
  <c r="F130" i="5" s="1"/>
  <c r="E128" i="5"/>
  <c r="F128" i="5" s="1"/>
  <c r="E126" i="5"/>
  <c r="F126" i="5" s="1"/>
  <c r="E114" i="5"/>
  <c r="F114" i="5" s="1"/>
  <c r="E112" i="5"/>
  <c r="F112" i="5" s="1"/>
  <c r="E110" i="5"/>
  <c r="F110" i="5" s="1"/>
  <c r="D105" i="5"/>
  <c r="E131" i="5"/>
  <c r="F131" i="5" s="1"/>
  <c r="E129" i="5"/>
  <c r="F129" i="5" s="1"/>
  <c r="E127" i="5"/>
  <c r="F127" i="5" s="1"/>
  <c r="E113" i="5"/>
  <c r="F113" i="5" s="1"/>
  <c r="E111" i="5"/>
  <c r="F111" i="5" s="1"/>
  <c r="E109" i="5"/>
  <c r="F109" i="5" s="1"/>
  <c r="E114" i="4"/>
  <c r="F114" i="4" s="1"/>
  <c r="E112" i="4"/>
  <c r="F112" i="4" s="1"/>
  <c r="E110" i="4"/>
  <c r="F110" i="4" s="1"/>
  <c r="D105" i="4"/>
  <c r="E113" i="4"/>
  <c r="F113" i="4" s="1"/>
  <c r="E111" i="4"/>
  <c r="F111" i="4" s="1"/>
  <c r="E109" i="4"/>
  <c r="F109" i="4" s="1"/>
  <c r="H74" i="4" l="1"/>
  <c r="H72" i="4"/>
  <c r="H73" i="4" s="1"/>
  <c r="G76" i="4"/>
  <c r="H74" i="5"/>
  <c r="H72" i="5"/>
  <c r="H73" i="5" s="1"/>
  <c r="F118" i="5"/>
  <c r="F116" i="5"/>
  <c r="F116" i="4"/>
  <c r="F118" i="4"/>
  <c r="F133" i="5"/>
  <c r="F135" i="5"/>
  <c r="G76" i="5" l="1"/>
  <c r="F117" i="5"/>
  <c r="G121" i="5"/>
  <c r="G138" i="5"/>
  <c r="F134" i="5"/>
  <c r="F117" i="4"/>
  <c r="G121" i="4"/>
</calcChain>
</file>

<file path=xl/sharedStrings.xml><?xml version="1.0" encoding="utf-8"?>
<sst xmlns="http://schemas.openxmlformats.org/spreadsheetml/2006/main" count="435" uniqueCount="147">
  <si>
    <t>HPLC System Suitability Report</t>
  </si>
  <si>
    <t>Analysis Data</t>
  </si>
  <si>
    <t>Assay</t>
  </si>
  <si>
    <t>Sample(s)</t>
  </si>
  <si>
    <t>Reference Substance:</t>
  </si>
  <si>
    <t>MALAR-2 FORTE DS</t>
  </si>
  <si>
    <t>% age Purity:</t>
  </si>
  <si>
    <t>NDQD201508193</t>
  </si>
  <si>
    <t>Weight (mg):</t>
  </si>
  <si>
    <t xml:space="preserve">Artemether  Lumefantrine </t>
  </si>
  <si>
    <t>Standard Conc (mg/mL):</t>
  </si>
  <si>
    <t>Each tablet contains:
Artemether 40 mg
Lumefantrine 240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</si>
  <si>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</si>
  <si>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</si>
  <si>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</si>
  <si>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</si>
  <si>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</si>
  <si>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</si>
  <si>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</si>
  <si>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</si>
  <si>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</si>
  <si>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</si>
  <si>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</si>
  <si>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</si>
  <si>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</si>
  <si>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</si>
  <si>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</si>
  <si>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</si>
  <si>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</si>
  <si>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</si>
  <si>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</si>
  <si>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</si>
  <si>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</si>
  <si>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</si>
  <si>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</si>
  <si>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</si>
  <si>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</si>
  <si>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</si>
  <si>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</si>
  <si>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</si>
  <si>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</si>
  <si>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</si>
  <si>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</si>
  <si>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</si>
  <si>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</si>
  <si>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</si>
  <si>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</si>
  <si>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</si>
  <si>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</si>
  <si>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</si>
  <si>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</si>
  <si>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</si>
  <si>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</si>
  <si>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</si>
  <si>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</si>
  <si>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</si>
  <si>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</si>
  <si>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t>Inj</t>
  </si>
  <si>
    <t>Response:</t>
  </si>
  <si>
    <t>Normalised Response:</t>
  </si>
  <si>
    <t>Average:</t>
  </si>
  <si>
    <t>Amt of RS (mg):</t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</si>
  <si>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</si>
  <si>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</si>
  <si>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</si>
  <si>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</si>
  <si>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</si>
  <si>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</si>
  <si>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</si>
  <si>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</si>
  <si>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</si>
  <si>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</si>
  <si>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</si>
  <si>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</si>
  <si>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</si>
  <si>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</si>
  <si>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</si>
  <si>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</si>
  <si>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</si>
  <si>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</si>
  <si>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</si>
  <si>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</si>
  <si>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</si>
  <si>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</si>
  <si>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</si>
  <si>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</si>
  <si>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</si>
  <si>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</si>
  <si>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</si>
  <si>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</si>
  <si>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</si>
  <si>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1hr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</si>
  <si>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</si>
  <si>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</si>
  <si>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</si>
  <si>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</si>
  <si>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</si>
  <si>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</si>
  <si>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F0J018</t>
  </si>
  <si>
    <t xml:space="preserve">in the sample as a percentage of the stated  label claim is </t>
  </si>
  <si>
    <t>Average Normalised Peak Area:</t>
  </si>
  <si>
    <t>ARTEMETHER</t>
  </si>
  <si>
    <t>Each tablet contains:   Artemether 80 mg
Lumefantrine 480mg</t>
  </si>
  <si>
    <t>29TH Oct 2015</t>
  </si>
  <si>
    <t>4th Dec 2015</t>
  </si>
  <si>
    <t xml:space="preserve">Lumefantrine </t>
  </si>
  <si>
    <t>WS/14/046</t>
  </si>
  <si>
    <t>29th Oct 2015</t>
  </si>
  <si>
    <t>JOYFRIDA</t>
  </si>
  <si>
    <t>The RSD of the peak areas for six replicate injections of  SST Std is less than 2.0%.</t>
  </si>
  <si>
    <t>The number of Theoretical Plates (USP) for all peaks is greater than 2000</t>
  </si>
  <si>
    <t>The Assymetry of all peaks were below 2.0</t>
  </si>
  <si>
    <r>
      <t>1</t>
    </r>
    <r>
      <rPr>
        <b/>
        <vertAlign val="superscript"/>
        <sz val="14"/>
        <rFont val="Book Antiqua"/>
        <family val="1"/>
      </rPr>
      <t>st</t>
    </r>
    <r>
      <rPr>
        <b/>
        <sz val="14"/>
        <rFont val="Book Antiqua"/>
        <family val="1"/>
      </rPr>
      <t xml:space="preserve"> Dilution Standard transfer Volume (mL:</t>
    </r>
  </si>
  <si>
    <r>
      <t>1</t>
    </r>
    <r>
      <rPr>
        <b/>
        <vertAlign val="superscript"/>
        <sz val="14"/>
        <rFont val="Book Antiqua"/>
        <family val="1"/>
      </rPr>
      <t>st</t>
    </r>
    <r>
      <rPr>
        <b/>
        <sz val="14"/>
        <rFont val="Book Antiqua"/>
        <family val="1"/>
      </rPr>
      <t xml:space="preserve"> Dilution Standard Final Volume (mL):</t>
    </r>
  </si>
  <si>
    <r>
      <t>2</t>
    </r>
    <r>
      <rPr>
        <b/>
        <vertAlign val="superscript"/>
        <sz val="14"/>
        <rFont val="Book Antiqua"/>
        <family val="1"/>
      </rPr>
      <t>nd</t>
    </r>
    <r>
      <rPr>
        <b/>
        <sz val="14"/>
        <rFont val="Book Antiqua"/>
        <family val="1"/>
      </rPr>
      <t xml:space="preserve"> Dilution Standard Transfer Volume (mL):</t>
    </r>
  </si>
  <si>
    <r>
      <t>2</t>
    </r>
    <r>
      <rPr>
        <b/>
        <vertAlign val="superscript"/>
        <sz val="14"/>
        <rFont val="Book Antiqua"/>
        <family val="1"/>
      </rPr>
      <t>nd</t>
    </r>
    <r>
      <rPr>
        <b/>
        <sz val="14"/>
        <rFont val="Book Antiqua"/>
        <family val="1"/>
      </rPr>
      <t xml:space="preserve"> Dilution Standard Final Volume (mL):</t>
    </r>
  </si>
  <si>
    <r>
      <t>3</t>
    </r>
    <r>
      <rPr>
        <b/>
        <vertAlign val="superscript"/>
        <sz val="14"/>
        <rFont val="Book Antiqua"/>
        <family val="1"/>
      </rPr>
      <t>rd</t>
    </r>
    <r>
      <rPr>
        <b/>
        <sz val="14"/>
        <rFont val="Book Antiqua"/>
        <family val="1"/>
      </rPr>
      <t xml:space="preserve"> Dilution Standard Volume (mL:</t>
    </r>
  </si>
  <si>
    <r>
      <t>3</t>
    </r>
    <r>
      <rPr>
        <b/>
        <vertAlign val="superscript"/>
        <sz val="14"/>
        <rFont val="Book Antiqua"/>
        <family val="1"/>
      </rPr>
      <t>rd</t>
    </r>
    <r>
      <rPr>
        <b/>
        <sz val="14"/>
        <rFont val="Book Antiqua"/>
        <family val="1"/>
      </rPr>
      <t xml:space="preserve"> Dilution Standard Final Volume (mL):</t>
    </r>
  </si>
  <si>
    <r>
      <t>4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 Standard Transfer Volume (mL):</t>
    </r>
  </si>
  <si>
    <r>
      <t>4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 Standard Final Volume (mL):</t>
    </r>
  </si>
  <si>
    <r>
      <t>1</t>
    </r>
    <r>
      <rPr>
        <b/>
        <vertAlign val="superscript"/>
        <sz val="14"/>
        <rFont val="Book Antiqua"/>
        <family val="1"/>
      </rPr>
      <t>st</t>
    </r>
    <r>
      <rPr>
        <b/>
        <sz val="14"/>
        <rFont val="Book Antiqua"/>
        <family val="1"/>
      </rPr>
      <t xml:space="preserve"> Dilution Sample transfer Volume (mL:</t>
    </r>
  </si>
  <si>
    <r>
      <t>1</t>
    </r>
    <r>
      <rPr>
        <b/>
        <vertAlign val="superscript"/>
        <sz val="14"/>
        <rFont val="Book Antiqua"/>
        <family val="1"/>
      </rPr>
      <t>st</t>
    </r>
    <r>
      <rPr>
        <b/>
        <sz val="14"/>
        <rFont val="Book Antiqua"/>
        <family val="1"/>
      </rPr>
      <t xml:space="preserve"> Dilution Sample Final Volume (mL):</t>
    </r>
  </si>
  <si>
    <r>
      <t>2</t>
    </r>
    <r>
      <rPr>
        <b/>
        <vertAlign val="superscript"/>
        <sz val="14"/>
        <rFont val="Book Antiqua"/>
        <family val="1"/>
      </rPr>
      <t>nd</t>
    </r>
    <r>
      <rPr>
        <b/>
        <sz val="14"/>
        <rFont val="Book Antiqua"/>
        <family val="1"/>
      </rPr>
      <t xml:space="preserve"> Dilution Sample Transfer Volume (mL):</t>
    </r>
  </si>
  <si>
    <r>
      <t>2</t>
    </r>
    <r>
      <rPr>
        <b/>
        <vertAlign val="superscript"/>
        <sz val="14"/>
        <rFont val="Book Antiqua"/>
        <family val="1"/>
      </rPr>
      <t>nd</t>
    </r>
    <r>
      <rPr>
        <b/>
        <sz val="14"/>
        <rFont val="Book Antiqua"/>
        <family val="1"/>
      </rPr>
      <t xml:space="preserve"> Dilution Sample Final Volume (mL):</t>
    </r>
  </si>
  <si>
    <r>
      <t>3</t>
    </r>
    <r>
      <rPr>
        <b/>
        <vertAlign val="superscript"/>
        <sz val="14"/>
        <rFont val="Book Antiqua"/>
        <family val="1"/>
      </rPr>
      <t>rd</t>
    </r>
    <r>
      <rPr>
        <b/>
        <sz val="14"/>
        <rFont val="Book Antiqua"/>
        <family val="1"/>
      </rPr>
      <t xml:space="preserve"> Dilution Sample Transfer Volume (mL:</t>
    </r>
  </si>
  <si>
    <r>
      <t>3</t>
    </r>
    <r>
      <rPr>
        <b/>
        <vertAlign val="superscript"/>
        <sz val="14"/>
        <rFont val="Book Antiqua"/>
        <family val="1"/>
      </rPr>
      <t>rd</t>
    </r>
    <r>
      <rPr>
        <b/>
        <sz val="14"/>
        <rFont val="Book Antiqua"/>
        <family val="1"/>
      </rPr>
      <t xml:space="preserve"> Dilution Sample Final Volume (mL):</t>
    </r>
  </si>
  <si>
    <r>
      <t>4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 Sample Transfer Volume (mL):</t>
    </r>
  </si>
  <si>
    <r>
      <t>4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 Sample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</si>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</sst>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b/>
      <i/>
      <sz val="12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b/>
      <i/>
      <sz val="14"/>
      <name val="Book Antiqua"/>
      <family val="1"/>
    </font>
    <font>
      <b/>
      <sz val="12"/>
      <name val="Book Antiqua"/>
      <family val="1"/>
    </font>
    <font>
      <b/>
      <sz val="14"/>
      <name val="Calibri"/>
      <family val="2"/>
    </font>
    <font>
      <b/>
      <sz val="16"/>
      <name val="Book Antiqua"/>
      <family val="1"/>
    </font>
    <font>
      <b/>
      <u/>
      <sz val="20"/>
      <name val="Book Antiqua"/>
      <family val="1"/>
    </font>
    <font>
      <b/>
      <sz val="10"/>
      <name val="Book Antiqua"/>
      <family val="1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b/>
      <vertAlign val="superscript"/>
      <sz val="14"/>
      <name val="Book Antiqua"/>
      <family val="1"/>
    </font>
    <font>
      <b/>
      <i/>
      <sz val="14"/>
      <color rgb="FF000000"/>
      <name val="Arial"/>
      <family val="2"/>
    </font>
    <font>
      <b/>
      <sz val="14"/>
      <color rgb="FF000000"/>
      <name val="Arial"/>
      <family val="2"/>
    </font>
    <font>
      <b/>
      <vertAlign val="superscript"/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4">
    <xf numFmtId="0" fontId="0" fillId="2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0" fontId="10" fillId="7" borderId="41" xfId="0" applyNumberFormat="1" applyFont="1" applyFill="1" applyBorder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/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" fontId="10" fillId="6" borderId="30" xfId="0" applyNumberFormat="1" applyFont="1" applyFill="1" applyBorder="1" applyAlignment="1">
      <alignment horizontal="center"/>
    </xf>
    <xf numFmtId="170" fontId="10" fillId="6" borderId="3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10" fillId="2" borderId="13" xfId="0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/>
    </xf>
    <xf numFmtId="170" fontId="10" fillId="6" borderId="3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10" fontId="10" fillId="6" borderId="32" xfId="0" applyNumberFormat="1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0" fillId="2" borderId="37" xfId="0" applyFont="1" applyFill="1" applyBorder="1"/>
    <xf numFmtId="0" fontId="10" fillId="2" borderId="24" xfId="0" applyFont="1" applyFill="1" applyBorder="1" applyAlignment="1">
      <alignment horizontal="center" wrapText="1"/>
    </xf>
    <xf numFmtId="170" fontId="10" fillId="2" borderId="0" xfId="0" applyNumberFormat="1" applyFont="1" applyFill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0" xfId="0" applyFont="1" applyFill="1" applyAlignment="1">
      <alignment horizontal="right"/>
    </xf>
    <xf numFmtId="0" fontId="10" fillId="2" borderId="23" xfId="0" applyFont="1" applyFill="1" applyBorder="1" applyAlignment="1">
      <alignment horizontal="center"/>
    </xf>
    <xf numFmtId="170" fontId="10" fillId="7" borderId="16" xfId="0" applyNumberFormat="1" applyFont="1" applyFill="1" applyBorder="1" applyAlignment="1">
      <alignment horizontal="center"/>
    </xf>
    <xf numFmtId="0" fontId="10" fillId="2" borderId="11" xfId="0" applyFont="1" applyFill="1" applyBorder="1" applyProtection="1">
      <protection locked="0"/>
    </xf>
    <xf numFmtId="165" fontId="10" fillId="2" borderId="0" xfId="0" applyNumberFormat="1" applyFont="1" applyFill="1" applyAlignment="1">
      <alignment horizontal="center"/>
    </xf>
    <xf numFmtId="0" fontId="16" fillId="3" borderId="0" xfId="0" applyFont="1" applyFill="1" applyAlignment="1" applyProtection="1">
      <alignment horizontal="center"/>
      <protection locked="0"/>
    </xf>
    <xf numFmtId="2" fontId="16" fillId="3" borderId="0" xfId="0" applyNumberFormat="1" applyFont="1" applyFill="1" applyAlignment="1" applyProtection="1">
      <alignment horizontal="center"/>
      <protection locked="0"/>
    </xf>
    <xf numFmtId="0" fontId="16" fillId="3" borderId="24" xfId="0" applyFont="1" applyFill="1" applyBorder="1" applyAlignment="1" applyProtection="1">
      <alignment horizontal="center"/>
      <protection locked="0"/>
    </xf>
    <xf numFmtId="0" fontId="16" fillId="3" borderId="23" xfId="0" applyFont="1" applyFill="1" applyBorder="1" applyAlignment="1" applyProtection="1">
      <alignment horizontal="center"/>
      <protection locked="0"/>
    </xf>
    <xf numFmtId="0" fontId="16" fillId="3" borderId="55" xfId="0" applyFont="1" applyFill="1" applyBorder="1" applyAlignment="1" applyProtection="1">
      <alignment horizont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29" xfId="0" applyFont="1" applyFill="1" applyBorder="1" applyAlignment="1" applyProtection="1">
      <alignment horizontal="center"/>
      <protection locked="0"/>
    </xf>
    <xf numFmtId="0" fontId="16" fillId="3" borderId="56" xfId="0" applyFont="1" applyFill="1" applyBorder="1" applyAlignment="1" applyProtection="1">
      <alignment horizontal="center"/>
      <protection locked="0"/>
    </xf>
    <xf numFmtId="0" fontId="16" fillId="3" borderId="16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10" fontId="16" fillId="7" borderId="28" xfId="0" applyNumberFormat="1" applyFont="1" applyFill="1" applyBorder="1" applyAlignment="1">
      <alignment horizontal="center"/>
    </xf>
    <xf numFmtId="10" fontId="16" fillId="6" borderId="57" xfId="0" applyNumberFormat="1" applyFont="1" applyFill="1" applyBorder="1" applyAlignment="1">
      <alignment horizontal="center"/>
    </xf>
    <xf numFmtId="0" fontId="16" fillId="7" borderId="58" xfId="0" applyFont="1" applyFill="1" applyBorder="1" applyAlignment="1">
      <alignment horizontal="center"/>
    </xf>
    <xf numFmtId="170" fontId="16" fillId="3" borderId="29" xfId="0" applyNumberFormat="1" applyFont="1" applyFill="1" applyBorder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center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" fontId="16" fillId="3" borderId="22" xfId="0" applyNumberFormat="1" applyFont="1" applyFill="1" applyBorder="1" applyAlignment="1" applyProtection="1">
      <alignment horizontal="center"/>
      <protection locked="0"/>
    </xf>
    <xf numFmtId="0" fontId="18" fillId="3" borderId="3" xfId="0" applyFont="1" applyFill="1" applyBorder="1" applyAlignment="1" applyProtection="1">
      <alignment horizontal="center"/>
      <protection locked="0"/>
    </xf>
    <xf numFmtId="167" fontId="2" fillId="2" borderId="0" xfId="0" applyNumberFormat="1" applyFont="1" applyFill="1" applyAlignment="1">
      <alignment horizontal="center"/>
    </xf>
    <xf numFmtId="166" fontId="16" fillId="3" borderId="39" xfId="0" applyNumberFormat="1" applyFont="1" applyFill="1" applyBorder="1" applyAlignment="1" applyProtection="1">
      <alignment horizontal="center"/>
      <protection locked="0"/>
    </xf>
    <xf numFmtId="166" fontId="16" fillId="3" borderId="40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47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5" fillId="2" borderId="3" xfId="0" applyFont="1" applyFill="1" applyBorder="1" applyAlignment="1">
      <alignment horizontal="center"/>
    </xf>
    <xf numFmtId="0" fontId="19" fillId="3" borderId="3" xfId="0" applyFont="1" applyFill="1" applyBorder="1" applyAlignment="1" applyProtection="1">
      <alignment horizontal="center"/>
      <protection locked="0"/>
    </xf>
    <xf numFmtId="2" fontId="19" fillId="3" borderId="3" xfId="0" applyNumberFormat="1" applyFont="1" applyFill="1" applyBorder="1" applyAlignment="1" applyProtection="1">
      <alignment horizontal="center"/>
      <protection locked="0"/>
    </xf>
    <xf numFmtId="2" fontId="19" fillId="3" borderId="4" xfId="0" applyNumberFormat="1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2" fontId="19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5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1" fillId="2" borderId="9" xfId="0" applyFont="1" applyFill="1" applyBorder="1"/>
    <xf numFmtId="0" fontId="1" fillId="2" borderId="0" xfId="0" applyFont="1" applyFill="1" applyAlignment="1">
      <alignment horizontal="center"/>
    </xf>
    <xf numFmtId="10" fontId="1" fillId="2" borderId="9" xfId="0" applyNumberFormat="1" applyFont="1" applyFill="1" applyBorder="1"/>
    <xf numFmtId="0" fontId="1" fillId="2" borderId="7" xfId="0" applyFont="1" applyFill="1" applyBorder="1"/>
    <xf numFmtId="0" fontId="23" fillId="2" borderId="0" xfId="0" applyFont="1" applyFill="1"/>
    <xf numFmtId="0" fontId="24" fillId="2" borderId="0" xfId="0" applyFont="1" applyFill="1"/>
    <xf numFmtId="0" fontId="24" fillId="3" borderId="0" xfId="0" applyFont="1" applyFill="1" applyAlignment="1" applyProtection="1">
      <alignment horizontal="left"/>
      <protection locked="0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right"/>
    </xf>
    <xf numFmtId="0" fontId="25" fillId="3" borderId="0" xfId="0" applyFont="1" applyFill="1" applyAlignment="1" applyProtection="1">
      <alignment horizontal="center"/>
      <protection locked="0"/>
    </xf>
    <xf numFmtId="0" fontId="27" fillId="2" borderId="0" xfId="0" applyFont="1" applyFill="1"/>
    <xf numFmtId="0" fontId="28" fillId="2" borderId="0" xfId="0" applyFont="1" applyFill="1" applyAlignment="1">
      <alignment vertical="center" wrapText="1"/>
    </xf>
    <xf numFmtId="0" fontId="24" fillId="2" borderId="0" xfId="0" applyFont="1" applyFill="1" applyAlignment="1">
      <alignment horizontal="center"/>
    </xf>
    <xf numFmtId="2" fontId="25" fillId="3" borderId="0" xfId="0" applyNumberFormat="1" applyFont="1" applyFill="1" applyAlignment="1" applyProtection="1">
      <alignment horizontal="center"/>
      <protection locked="0"/>
    </xf>
    <xf numFmtId="0" fontId="24" fillId="2" borderId="0" xfId="0" applyFont="1" applyFill="1" applyAlignment="1">
      <alignment vertical="center" wrapText="1"/>
    </xf>
    <xf numFmtId="2" fontId="24" fillId="2" borderId="0" xfId="0" applyNumberFormat="1" applyFont="1" applyFill="1" applyAlignment="1">
      <alignment horizontal="center"/>
    </xf>
    <xf numFmtId="0" fontId="26" fillId="2" borderId="0" xfId="0" applyFont="1" applyFill="1" applyAlignment="1">
      <alignment horizontal="left" vertical="center" wrapText="1"/>
    </xf>
    <xf numFmtId="169" fontId="24" fillId="2" borderId="0" xfId="0" applyNumberFormat="1" applyFont="1" applyFill="1" applyAlignment="1">
      <alignment horizontal="center"/>
    </xf>
    <xf numFmtId="0" fontId="25" fillId="3" borderId="24" xfId="0" applyFont="1" applyFill="1" applyBorder="1" applyAlignment="1" applyProtection="1">
      <alignment horizontal="center"/>
      <protection locked="0"/>
    </xf>
    <xf numFmtId="0" fontId="25" fillId="3" borderId="23" xfId="0" applyFont="1" applyFill="1" applyBorder="1" applyAlignment="1" applyProtection="1">
      <alignment horizontal="center"/>
      <protection locked="0"/>
    </xf>
    <xf numFmtId="0" fontId="24" fillId="2" borderId="24" xfId="0" applyFont="1" applyFill="1" applyBorder="1" applyAlignment="1">
      <alignment horizontal="center"/>
    </xf>
    <xf numFmtId="0" fontId="24" fillId="2" borderId="25" xfId="0" applyFont="1" applyFill="1" applyBorder="1" applyAlignment="1">
      <alignment horizontal="center"/>
    </xf>
    <xf numFmtId="0" fontId="24" fillId="2" borderId="38" xfId="0" applyFont="1" applyFill="1" applyBorder="1" applyAlignment="1">
      <alignment horizontal="center"/>
    </xf>
    <xf numFmtId="0" fontId="24" fillId="2" borderId="26" xfId="0" applyFont="1" applyFill="1" applyBorder="1" applyAlignment="1">
      <alignment horizontal="center"/>
    </xf>
    <xf numFmtId="0" fontId="29" fillId="3" borderId="3" xfId="0" applyFont="1" applyFill="1" applyBorder="1" applyAlignment="1" applyProtection="1">
      <alignment horizontal="center"/>
      <protection locked="0"/>
    </xf>
    <xf numFmtId="0" fontId="25" fillId="3" borderId="55" xfId="0" applyFont="1" applyFill="1" applyBorder="1" applyAlignment="1" applyProtection="1">
      <alignment horizontal="center"/>
      <protection locked="0"/>
    </xf>
    <xf numFmtId="0" fontId="25" fillId="3" borderId="29" xfId="0" applyFont="1" applyFill="1" applyBorder="1" applyAlignment="1" applyProtection="1">
      <alignment horizontal="center"/>
      <protection locked="0"/>
    </xf>
    <xf numFmtId="1" fontId="24" fillId="6" borderId="30" xfId="0" applyNumberFormat="1" applyFont="1" applyFill="1" applyBorder="1" applyAlignment="1">
      <alignment horizontal="center"/>
    </xf>
    <xf numFmtId="170" fontId="24" fillId="6" borderId="34" xfId="0" applyNumberFormat="1" applyFont="1" applyFill="1" applyBorder="1" applyAlignment="1">
      <alignment horizontal="center"/>
    </xf>
    <xf numFmtId="170" fontId="24" fillId="6" borderId="31" xfId="0" applyNumberFormat="1" applyFont="1" applyFill="1" applyBorder="1" applyAlignment="1">
      <alignment horizontal="center"/>
    </xf>
    <xf numFmtId="0" fontId="25" fillId="3" borderId="16" xfId="0" applyFont="1" applyFill="1" applyBorder="1" applyAlignment="1" applyProtection="1">
      <alignment horizontal="center"/>
      <protection locked="0"/>
    </xf>
    <xf numFmtId="0" fontId="25" fillId="3" borderId="41" xfId="0" applyFont="1" applyFill="1" applyBorder="1" applyAlignment="1" applyProtection="1">
      <alignment horizontal="center"/>
      <protection locked="0"/>
    </xf>
    <xf numFmtId="170" fontId="24" fillId="7" borderId="16" xfId="0" applyNumberFormat="1" applyFont="1" applyFill="1" applyBorder="1" applyAlignment="1">
      <alignment horizontal="center"/>
    </xf>
    <xf numFmtId="0" fontId="24" fillId="2" borderId="0" xfId="0" applyFont="1" applyFill="1" applyAlignment="1">
      <alignment horizontal="left"/>
    </xf>
    <xf numFmtId="166" fontId="24" fillId="2" borderId="0" xfId="0" applyNumberFormat="1" applyFont="1" applyFill="1" applyAlignment="1" applyProtection="1">
      <alignment horizontal="center"/>
      <protection locked="0"/>
    </xf>
    <xf numFmtId="2" fontId="24" fillId="2" borderId="13" xfId="0" applyNumberFormat="1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/>
    </xf>
    <xf numFmtId="0" fontId="25" fillId="3" borderId="21" xfId="0" applyFont="1" applyFill="1" applyBorder="1" applyAlignment="1" applyProtection="1">
      <alignment horizontal="center"/>
      <protection locked="0"/>
    </xf>
    <xf numFmtId="0" fontId="25" fillId="3" borderId="22" xfId="0" applyFont="1" applyFill="1" applyBorder="1" applyAlignment="1" applyProtection="1">
      <alignment horizontal="center"/>
      <protection locked="0"/>
    </xf>
    <xf numFmtId="1" fontId="25" fillId="3" borderId="22" xfId="0" applyNumberFormat="1" applyFont="1" applyFill="1" applyBorder="1" applyAlignment="1" applyProtection="1">
      <alignment horizontal="center"/>
      <protection locked="0"/>
    </xf>
    <xf numFmtId="0" fontId="25" fillId="3" borderId="42" xfId="0" applyFont="1" applyFill="1" applyBorder="1" applyAlignment="1" applyProtection="1">
      <alignment horizontal="center"/>
      <protection locked="0"/>
    </xf>
    <xf numFmtId="0" fontId="24" fillId="2" borderId="23" xfId="0" applyFont="1" applyFill="1" applyBorder="1" applyAlignment="1">
      <alignment horizontal="center"/>
    </xf>
    <xf numFmtId="10" fontId="25" fillId="7" borderId="28" xfId="0" applyNumberFormat="1" applyFont="1" applyFill="1" applyBorder="1" applyAlignment="1">
      <alignment horizontal="center"/>
    </xf>
    <xf numFmtId="10" fontId="25" fillId="6" borderId="57" xfId="0" applyNumberFormat="1" applyFont="1" applyFill="1" applyBorder="1" applyAlignment="1">
      <alignment horizontal="center"/>
    </xf>
    <xf numFmtId="0" fontId="25" fillId="7" borderId="58" xfId="0" applyFont="1" applyFill="1" applyBorder="1" applyAlignment="1">
      <alignment horizontal="center"/>
    </xf>
    <xf numFmtId="165" fontId="24" fillId="2" borderId="0" xfId="0" applyNumberFormat="1" applyFont="1" applyFill="1" applyAlignment="1">
      <alignment horizontal="center"/>
    </xf>
    <xf numFmtId="0" fontId="30" fillId="3" borderId="0" xfId="0" applyFont="1" applyFill="1" applyAlignment="1" applyProtection="1">
      <alignment horizontal="center"/>
      <protection locked="0"/>
    </xf>
    <xf numFmtId="0" fontId="24" fillId="2" borderId="35" xfId="0" applyFont="1" applyFill="1" applyBorder="1" applyAlignment="1">
      <alignment horizontal="center"/>
    </xf>
    <xf numFmtId="0" fontId="24" fillId="2" borderId="47" xfId="0" applyFont="1" applyFill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170" fontId="25" fillId="3" borderId="29" xfId="0" applyNumberFormat="1" applyFont="1" applyFill="1" applyBorder="1" applyAlignment="1" applyProtection="1">
      <alignment horizontal="center"/>
      <protection locked="0"/>
    </xf>
    <xf numFmtId="1" fontId="24" fillId="6" borderId="53" xfId="0" applyNumberFormat="1" applyFont="1" applyFill="1" applyBorder="1" applyAlignment="1">
      <alignment horizontal="center"/>
    </xf>
    <xf numFmtId="1" fontId="24" fillId="6" borderId="46" xfId="0" applyNumberFormat="1" applyFont="1" applyFill="1" applyBorder="1" applyAlignment="1">
      <alignment horizontal="center"/>
    </xf>
    <xf numFmtId="1" fontId="24" fillId="6" borderId="15" xfId="0" applyNumberFormat="1" applyFont="1" applyFill="1" applyBorder="1" applyAlignment="1">
      <alignment horizontal="center"/>
    </xf>
    <xf numFmtId="0" fontId="25" fillId="3" borderId="56" xfId="0" applyFont="1" applyFill="1" applyBorder="1" applyAlignment="1" applyProtection="1">
      <alignment horizontal="center"/>
      <protection locked="0"/>
    </xf>
    <xf numFmtId="0" fontId="24" fillId="2" borderId="0" xfId="0" applyFont="1" applyFill="1" applyAlignment="1">
      <alignment horizontal="center" wrapText="1"/>
    </xf>
    <xf numFmtId="10" fontId="24" fillId="6" borderId="32" xfId="0" applyNumberFormat="1" applyFont="1" applyFill="1" applyBorder="1" applyAlignment="1">
      <alignment horizontal="center"/>
    </xf>
    <xf numFmtId="0" fontId="24" fillId="7" borderId="17" xfId="0" applyFont="1" applyFill="1" applyBorder="1" applyAlignment="1">
      <alignment horizontal="center"/>
    </xf>
    <xf numFmtId="0" fontId="24" fillId="2" borderId="36" xfId="0" applyFont="1" applyFill="1" applyBorder="1" applyAlignment="1">
      <alignment horizontal="center"/>
    </xf>
    <xf numFmtId="0" fontId="24" fillId="2" borderId="37" xfId="0" applyFont="1" applyFill="1" applyBorder="1"/>
    <xf numFmtId="0" fontId="24" fillId="2" borderId="24" xfId="0" applyFont="1" applyFill="1" applyBorder="1" applyAlignment="1">
      <alignment horizontal="center" wrapText="1"/>
    </xf>
    <xf numFmtId="1" fontId="25" fillId="3" borderId="39" xfId="0" applyNumberFormat="1" applyFont="1" applyFill="1" applyBorder="1" applyAlignment="1" applyProtection="1">
      <alignment horizontal="center"/>
      <protection locked="0"/>
    </xf>
    <xf numFmtId="1" fontId="25" fillId="3" borderId="40" xfId="0" applyNumberFormat="1" applyFont="1" applyFill="1" applyBorder="1" applyAlignment="1" applyProtection="1">
      <alignment horizontal="center"/>
      <protection locked="0"/>
    </xf>
    <xf numFmtId="170" fontId="24" fillId="2" borderId="0" xfId="0" applyNumberFormat="1" applyFont="1" applyFill="1" applyAlignment="1">
      <alignment horizontal="center"/>
    </xf>
    <xf numFmtId="10" fontId="25" fillId="7" borderId="41" xfId="0" applyNumberFormat="1" applyFont="1" applyFill="1" applyBorder="1" applyAlignment="1">
      <alignment horizontal="center"/>
    </xf>
    <xf numFmtId="10" fontId="25" fillId="6" borderId="41" xfId="0" applyNumberFormat="1" applyFont="1" applyFill="1" applyBorder="1" applyAlignment="1">
      <alignment horizontal="center"/>
    </xf>
    <xf numFmtId="0" fontId="25" fillId="7" borderId="17" xfId="0" applyFont="1" applyFill="1" applyBorder="1" applyAlignment="1">
      <alignment horizontal="center"/>
    </xf>
    <xf numFmtId="165" fontId="25" fillId="2" borderId="0" xfId="0" applyNumberFormat="1" applyFont="1" applyFill="1" applyAlignment="1">
      <alignment horizontal="center"/>
    </xf>
    <xf numFmtId="0" fontId="26" fillId="2" borderId="9" xfId="0" applyFont="1" applyFill="1" applyBorder="1" applyAlignment="1">
      <alignment horizontal="left" vertical="center" wrapText="1"/>
    </xf>
    <xf numFmtId="0" fontId="24" fillId="2" borderId="11" xfId="0" applyFont="1" applyFill="1" applyBorder="1" applyProtection="1">
      <protection locked="0"/>
    </xf>
    <xf numFmtId="0" fontId="24" fillId="2" borderId="11" xfId="0" applyFont="1" applyFill="1" applyBorder="1"/>
    <xf numFmtId="0" fontId="31" fillId="2" borderId="0" xfId="0" applyFont="1" applyFill="1"/>
    <xf numFmtId="0" fontId="32" fillId="2" borderId="0" xfId="0" applyFont="1" applyFill="1"/>
    <xf numFmtId="0" fontId="24" fillId="3" borderId="0" xfId="0" applyFont="1" applyFill="1" applyAlignment="1" applyProtection="1">
      <alignment wrapText="1"/>
      <protection locked="0"/>
    </xf>
    <xf numFmtId="0" fontId="24" fillId="3" borderId="0" xfId="0" applyFont="1" applyFill="1" applyProtection="1">
      <protection locked="0"/>
    </xf>
    <xf numFmtId="168" fontId="24" fillId="3" borderId="0" xfId="0" applyNumberFormat="1" applyFont="1" applyFill="1" applyAlignment="1" applyProtection="1">
      <alignment horizontal="left"/>
      <protection locked="0"/>
    </xf>
    <xf numFmtId="168" fontId="24" fillId="2" borderId="0" xfId="0" applyNumberFormat="1" applyFont="1" applyFill="1" applyAlignment="1">
      <alignment horizontal="left"/>
    </xf>
    <xf numFmtId="0" fontId="33" fillId="2" borderId="0" xfId="0" applyFont="1" applyFill="1"/>
    <xf numFmtId="0" fontId="26" fillId="2" borderId="0" xfId="0" applyFont="1" applyFill="1"/>
    <xf numFmtId="0" fontId="34" fillId="2" borderId="0" xfId="0" applyFont="1" applyFill="1"/>
    <xf numFmtId="0" fontId="24" fillId="2" borderId="21" xfId="0" applyFont="1" applyFill="1" applyBorder="1" applyAlignment="1">
      <alignment horizontal="right"/>
    </xf>
    <xf numFmtId="0" fontId="24" fillId="2" borderId="22" xfId="0" applyFont="1" applyFill="1" applyBorder="1" applyAlignment="1">
      <alignment horizontal="right"/>
    </xf>
    <xf numFmtId="0" fontId="24" fillId="2" borderId="27" xfId="0" applyFont="1" applyFill="1" applyBorder="1" applyAlignment="1">
      <alignment horizontal="center"/>
    </xf>
    <xf numFmtId="170" fontId="24" fillId="2" borderId="38" xfId="0" applyNumberFormat="1" applyFont="1" applyFill="1" applyBorder="1" applyAlignment="1">
      <alignment horizontal="center"/>
    </xf>
    <xf numFmtId="170" fontId="24" fillId="2" borderId="26" xfId="0" applyNumberFormat="1" applyFont="1" applyFill="1" applyBorder="1" applyAlignment="1">
      <alignment horizontal="center"/>
    </xf>
    <xf numFmtId="170" fontId="24" fillId="2" borderId="39" xfId="0" applyNumberFormat="1" applyFont="1" applyFill="1" applyBorder="1" applyAlignment="1">
      <alignment horizontal="center"/>
    </xf>
    <xf numFmtId="170" fontId="24" fillId="2" borderId="48" xfId="0" applyNumberFormat="1" applyFont="1" applyFill="1" applyBorder="1" applyAlignment="1">
      <alignment horizontal="center"/>
    </xf>
    <xf numFmtId="0" fontId="24" fillId="2" borderId="28" xfId="0" applyFont="1" applyFill="1" applyBorder="1" applyAlignment="1">
      <alignment horizontal="center"/>
    </xf>
    <xf numFmtId="170" fontId="24" fillId="2" borderId="40" xfId="0" applyNumberFormat="1" applyFont="1" applyFill="1" applyBorder="1" applyAlignment="1">
      <alignment horizontal="center"/>
    </xf>
    <xf numFmtId="170" fontId="24" fillId="2" borderId="49" xfId="0" applyNumberFormat="1" applyFont="1" applyFill="1" applyBorder="1" applyAlignment="1">
      <alignment horizontal="center"/>
    </xf>
    <xf numFmtId="0" fontId="24" fillId="2" borderId="23" xfId="0" applyFont="1" applyFill="1" applyBorder="1" applyAlignment="1">
      <alignment horizontal="right"/>
    </xf>
    <xf numFmtId="0" fontId="31" fillId="2" borderId="0" xfId="0" applyFont="1" applyFill="1" applyAlignment="1">
      <alignment horizontal="center"/>
    </xf>
    <xf numFmtId="0" fontId="24" fillId="2" borderId="52" xfId="0" applyFont="1" applyFill="1" applyBorder="1" applyAlignment="1">
      <alignment horizontal="right"/>
    </xf>
    <xf numFmtId="0" fontId="24" fillId="2" borderId="25" xfId="0" applyFont="1" applyFill="1" applyBorder="1" applyAlignment="1">
      <alignment horizontal="right"/>
    </xf>
    <xf numFmtId="2" fontId="24" fillId="6" borderId="41" xfId="0" applyNumberFormat="1" applyFont="1" applyFill="1" applyBorder="1" applyAlignment="1">
      <alignment horizontal="center"/>
    </xf>
    <xf numFmtId="2" fontId="24" fillId="6" borderId="32" xfId="0" applyNumberFormat="1" applyFont="1" applyFill="1" applyBorder="1" applyAlignment="1">
      <alignment horizontal="center"/>
    </xf>
    <xf numFmtId="2" fontId="24" fillId="7" borderId="41" xfId="0" applyNumberFormat="1" applyFont="1" applyFill="1" applyBorder="1" applyAlignment="1">
      <alignment horizontal="center"/>
    </xf>
    <xf numFmtId="2" fontId="24" fillId="7" borderId="32" xfId="0" applyNumberFormat="1" applyFont="1" applyFill="1" applyBorder="1" applyAlignment="1">
      <alignment horizontal="center"/>
    </xf>
    <xf numFmtId="2" fontId="24" fillId="6" borderId="17" xfId="0" applyNumberFormat="1" applyFont="1" applyFill="1" applyBorder="1" applyAlignment="1">
      <alignment horizontal="center"/>
    </xf>
    <xf numFmtId="1" fontId="24" fillId="2" borderId="0" xfId="0" applyNumberFormat="1" applyFont="1" applyFill="1" applyAlignment="1">
      <alignment horizontal="center"/>
    </xf>
    <xf numFmtId="0" fontId="24" fillId="2" borderId="51" xfId="0" applyFont="1" applyFill="1" applyBorder="1" applyAlignment="1">
      <alignment horizontal="right"/>
    </xf>
    <xf numFmtId="2" fontId="24" fillId="7" borderId="26" xfId="0" applyNumberFormat="1" applyFont="1" applyFill="1" applyBorder="1" applyAlignment="1">
      <alignment horizontal="center"/>
    </xf>
    <xf numFmtId="0" fontId="24" fillId="2" borderId="16" xfId="0" applyFont="1" applyFill="1" applyBorder="1" applyAlignment="1">
      <alignment horizontal="right"/>
    </xf>
    <xf numFmtId="0" fontId="24" fillId="2" borderId="32" xfId="0" applyFont="1" applyFill="1" applyBorder="1" applyAlignment="1">
      <alignment horizontal="right"/>
    </xf>
    <xf numFmtId="0" fontId="24" fillId="2" borderId="17" xfId="0" applyFont="1" applyFill="1" applyBorder="1" applyAlignment="1">
      <alignment horizontal="right"/>
    </xf>
    <xf numFmtId="2" fontId="24" fillId="2" borderId="21" xfId="0" applyNumberFormat="1" applyFont="1" applyFill="1" applyBorder="1" applyAlignment="1">
      <alignment horizontal="center"/>
    </xf>
    <xf numFmtId="10" fontId="24" fillId="2" borderId="13" xfId="0" applyNumberFormat="1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/>
    </xf>
    <xf numFmtId="2" fontId="24" fillId="2" borderId="22" xfId="0" applyNumberFormat="1" applyFont="1" applyFill="1" applyBorder="1" applyAlignment="1">
      <alignment horizontal="center"/>
    </xf>
    <xf numFmtId="10" fontId="24" fillId="2" borderId="14" xfId="0" applyNumberFormat="1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/>
    </xf>
    <xf numFmtId="10" fontId="24" fillId="2" borderId="24" xfId="0" applyNumberFormat="1" applyFont="1" applyFill="1" applyBorder="1" applyAlignment="1">
      <alignment horizontal="center" vertical="center"/>
    </xf>
    <xf numFmtId="2" fontId="24" fillId="2" borderId="14" xfId="0" applyNumberFormat="1" applyFont="1" applyFill="1" applyBorder="1" applyAlignment="1">
      <alignment horizontal="center"/>
    </xf>
    <xf numFmtId="10" fontId="24" fillId="2" borderId="23" xfId="0" applyNumberFormat="1" applyFont="1" applyFill="1" applyBorder="1" applyAlignment="1">
      <alignment horizontal="center" vertical="center"/>
    </xf>
    <xf numFmtId="2" fontId="24" fillId="2" borderId="15" xfId="0" applyNumberFormat="1" applyFont="1" applyFill="1" applyBorder="1" applyAlignment="1">
      <alignment horizontal="center"/>
    </xf>
    <xf numFmtId="10" fontId="24" fillId="2" borderId="50" xfId="0" applyNumberFormat="1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right"/>
    </xf>
    <xf numFmtId="2" fontId="25" fillId="2" borderId="50" xfId="0" applyNumberFormat="1" applyFont="1" applyFill="1" applyBorder="1" applyAlignment="1">
      <alignment horizontal="center"/>
    </xf>
    <xf numFmtId="10" fontId="24" fillId="2" borderId="15" xfId="0" applyNumberFormat="1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right"/>
    </xf>
    <xf numFmtId="0" fontId="24" fillId="2" borderId="45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2" fontId="31" fillId="2" borderId="0" xfId="0" applyNumberFormat="1" applyFont="1" applyFill="1" applyAlignment="1">
      <alignment horizontal="center"/>
    </xf>
    <xf numFmtId="10" fontId="24" fillId="2" borderId="0" xfId="0" applyNumberFormat="1" applyFont="1" applyFill="1" applyAlignment="1">
      <alignment horizontal="center"/>
    </xf>
    <xf numFmtId="0" fontId="24" fillId="2" borderId="22" xfId="0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10" fontId="24" fillId="2" borderId="26" xfId="0" applyNumberFormat="1" applyFont="1" applyFill="1" applyBorder="1" applyAlignment="1">
      <alignment horizontal="center"/>
    </xf>
    <xf numFmtId="2" fontId="24" fillId="2" borderId="39" xfId="0" applyNumberFormat="1" applyFont="1" applyFill="1" applyBorder="1" applyAlignment="1">
      <alignment horizontal="center"/>
    </xf>
    <xf numFmtId="10" fontId="24" fillId="2" borderId="48" xfId="0" applyNumberFormat="1" applyFont="1" applyFill="1" applyBorder="1" applyAlignment="1">
      <alignment horizontal="center"/>
    </xf>
    <xf numFmtId="0" fontId="24" fillId="2" borderId="29" xfId="0" applyFont="1" applyFill="1" applyBorder="1" applyAlignment="1">
      <alignment horizontal="center"/>
    </xf>
    <xf numFmtId="2" fontId="24" fillId="2" borderId="40" xfId="0" applyNumberFormat="1" applyFont="1" applyFill="1" applyBorder="1" applyAlignment="1">
      <alignment horizontal="center"/>
    </xf>
    <xf numFmtId="10" fontId="24" fillId="2" borderId="49" xfId="0" applyNumberFormat="1" applyFont="1" applyFill="1" applyBorder="1" applyAlignment="1">
      <alignment horizontal="center"/>
    </xf>
    <xf numFmtId="2" fontId="24" fillId="2" borderId="23" xfId="0" applyNumberFormat="1" applyFont="1" applyFill="1" applyBorder="1" applyAlignment="1">
      <alignment horizontal="center"/>
    </xf>
    <xf numFmtId="170" fontId="24" fillId="2" borderId="2" xfId="0" applyNumberFormat="1" applyFont="1" applyFill="1" applyBorder="1" applyAlignment="1">
      <alignment horizontal="right"/>
    </xf>
    <xf numFmtId="0" fontId="24" fillId="2" borderId="22" xfId="0" applyFont="1" applyFill="1" applyBorder="1"/>
    <xf numFmtId="0" fontId="24" fillId="2" borderId="6" xfId="0" applyFont="1" applyFill="1" applyBorder="1"/>
    <xf numFmtId="0" fontId="24" fillId="2" borderId="42" xfId="0" applyFont="1" applyFill="1" applyBorder="1"/>
    <xf numFmtId="0" fontId="24" fillId="2" borderId="43" xfId="0" applyFont="1" applyFill="1" applyBorder="1" applyAlignment="1">
      <alignment horizontal="center"/>
    </xf>
    <xf numFmtId="0" fontId="24" fillId="2" borderId="44" xfId="0" applyFont="1" applyFill="1" applyBorder="1" applyAlignment="1">
      <alignment horizontal="right"/>
    </xf>
    <xf numFmtId="2" fontId="24" fillId="2" borderId="4" xfId="0" applyNumberFormat="1" applyFont="1" applyFill="1" applyBorder="1" applyAlignment="1">
      <alignment horizontal="center"/>
    </xf>
    <xf numFmtId="10" fontId="24" fillId="2" borderId="27" xfId="0" applyNumberFormat="1" applyFont="1" applyFill="1" applyBorder="1" applyAlignment="1">
      <alignment horizontal="center"/>
    </xf>
    <xf numFmtId="2" fontId="24" fillId="2" borderId="3" xfId="0" applyNumberFormat="1" applyFont="1" applyFill="1" applyBorder="1" applyAlignment="1">
      <alignment horizontal="center"/>
    </xf>
    <xf numFmtId="10" fontId="24" fillId="2" borderId="23" xfId="0" applyNumberFormat="1" applyFont="1" applyFill="1" applyBorder="1" applyAlignment="1">
      <alignment horizontal="center"/>
    </xf>
    <xf numFmtId="2" fontId="24" fillId="2" borderId="5" xfId="0" applyNumberFormat="1" applyFont="1" applyFill="1" applyBorder="1" applyAlignment="1">
      <alignment horizontal="center"/>
    </xf>
    <xf numFmtId="10" fontId="24" fillId="2" borderId="28" xfId="0" applyNumberFormat="1" applyFont="1" applyFill="1" applyBorder="1" applyAlignment="1">
      <alignment horizontal="center"/>
    </xf>
    <xf numFmtId="0" fontId="24" fillId="2" borderId="23" xfId="0" applyFont="1" applyFill="1" applyBorder="1" applyAlignment="1" applyProtection="1">
      <alignment horizontal="center"/>
      <protection locked="0"/>
    </xf>
    <xf numFmtId="0" fontId="24" fillId="2" borderId="9" xfId="0" applyFont="1" applyFill="1" applyBorder="1"/>
    <xf numFmtId="0" fontId="24" fillId="2" borderId="7" xfId="0" applyFont="1" applyFill="1" applyBorder="1" applyProtection="1">
      <protection locked="0"/>
    </xf>
    <xf numFmtId="0" fontId="24" fillId="2" borderId="7" xfId="0" applyFont="1" applyFill="1" applyBorder="1"/>
    <xf numFmtId="0" fontId="10" fillId="3" borderId="0" xfId="0" applyFont="1" applyFill="1" applyProtection="1">
      <protection locked="0"/>
    </xf>
    <xf numFmtId="168" fontId="10" fillId="3" borderId="0" xfId="0" applyNumberFormat="1" applyFont="1" applyFill="1" applyAlignment="1" applyProtection="1">
      <alignment horizontal="left"/>
      <protection locked="0"/>
    </xf>
    <xf numFmtId="168" fontId="10" fillId="2" borderId="0" xfId="0" applyNumberFormat="1" applyFont="1" applyFill="1" applyAlignment="1">
      <alignment horizontal="left"/>
    </xf>
    <xf numFmtId="0" fontId="36" fillId="2" borderId="0" xfId="0" applyFont="1" applyFill="1"/>
    <xf numFmtId="0" fontId="12" fillId="2" borderId="0" xfId="0" applyFont="1" applyFill="1"/>
    <xf numFmtId="0" fontId="37" fillId="2" borderId="0" xfId="0" applyFont="1" applyFill="1"/>
    <xf numFmtId="0" fontId="10" fillId="2" borderId="21" xfId="0" applyFont="1" applyFill="1" applyBorder="1" applyAlignment="1">
      <alignment horizontal="right"/>
    </xf>
    <xf numFmtId="0" fontId="10" fillId="2" borderId="22" xfId="0" applyFont="1" applyFill="1" applyBorder="1" applyAlignment="1">
      <alignment horizontal="right"/>
    </xf>
    <xf numFmtId="0" fontId="10" fillId="2" borderId="27" xfId="0" applyFont="1" applyFill="1" applyBorder="1" applyAlignment="1">
      <alignment horizontal="center"/>
    </xf>
    <xf numFmtId="170" fontId="10" fillId="2" borderId="38" xfId="0" applyNumberFormat="1" applyFont="1" applyFill="1" applyBorder="1" applyAlignment="1">
      <alignment horizontal="center"/>
    </xf>
    <xf numFmtId="170" fontId="10" fillId="2" borderId="26" xfId="0" applyNumberFormat="1" applyFont="1" applyFill="1" applyBorder="1" applyAlignment="1">
      <alignment horizontal="center"/>
    </xf>
    <xf numFmtId="170" fontId="10" fillId="2" borderId="39" xfId="0" applyNumberFormat="1" applyFont="1" applyFill="1" applyBorder="1" applyAlignment="1">
      <alignment horizontal="center"/>
    </xf>
    <xf numFmtId="170" fontId="10" fillId="2" borderId="48" xfId="0" applyNumberFormat="1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0" fontId="10" fillId="2" borderId="40" xfId="0" applyNumberFormat="1" applyFont="1" applyFill="1" applyBorder="1" applyAlignment="1">
      <alignment horizontal="center"/>
    </xf>
    <xf numFmtId="170" fontId="10" fillId="2" borderId="49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right"/>
    </xf>
    <xf numFmtId="0" fontId="10" fillId="2" borderId="52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2" fontId="10" fillId="6" borderId="32" xfId="0" applyNumberFormat="1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7" borderId="32" xfId="0" applyNumberFormat="1" applyFont="1" applyFill="1" applyBorder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10" fillId="2" borderId="51" xfId="0" applyFont="1" applyFill="1" applyBorder="1" applyAlignment="1">
      <alignment horizontal="right"/>
    </xf>
    <xf numFmtId="2" fontId="10" fillId="7" borderId="26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0" fillId="2" borderId="32" xfId="0" applyFont="1" applyFill="1" applyBorder="1" applyAlignment="1">
      <alignment horizontal="right"/>
    </xf>
    <xf numFmtId="0" fontId="10" fillId="2" borderId="17" xfId="0" applyFont="1" applyFill="1" applyBorder="1" applyAlignment="1">
      <alignment horizontal="right"/>
    </xf>
    <xf numFmtId="166" fontId="10" fillId="2" borderId="21" xfId="0" applyNumberFormat="1" applyFont="1" applyFill="1" applyBorder="1" applyAlignment="1">
      <alignment horizontal="center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66" fontId="10" fillId="2" borderId="22" xfId="0" applyNumberFormat="1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0" fontId="10" fillId="2" borderId="24" xfId="0" applyNumberFormat="1" applyFont="1" applyFill="1" applyBorder="1" applyAlignment="1">
      <alignment horizontal="center" vertical="center"/>
    </xf>
    <xf numFmtId="166" fontId="10" fillId="2" borderId="14" xfId="0" applyNumberFormat="1" applyFont="1" applyFill="1" applyBorder="1" applyAlignment="1">
      <alignment horizontal="center"/>
    </xf>
    <xf numFmtId="10" fontId="10" fillId="2" borderId="23" xfId="0" applyNumberFormat="1" applyFont="1" applyFill="1" applyBorder="1" applyAlignment="1">
      <alignment horizontal="center" vertical="center"/>
    </xf>
    <xf numFmtId="166" fontId="10" fillId="2" borderId="15" xfId="0" applyNumberFormat="1" applyFont="1" applyFill="1" applyBorder="1" applyAlignment="1">
      <alignment horizontal="center"/>
    </xf>
    <xf numFmtId="10" fontId="10" fillId="2" borderId="50" xfId="0" applyNumberFormat="1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right"/>
    </xf>
    <xf numFmtId="2" fontId="10" fillId="2" borderId="50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right"/>
    </xf>
    <xf numFmtId="0" fontId="10" fillId="3" borderId="0" xfId="0" applyFont="1" applyFill="1"/>
    <xf numFmtId="0" fontId="10" fillId="2" borderId="45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0" fillId="6" borderId="41" xfId="0" applyNumberFormat="1" applyFont="1" applyFill="1" applyBorder="1" applyAlignment="1">
      <alignment horizontal="center"/>
    </xf>
    <xf numFmtId="170" fontId="10" fillId="6" borderId="17" xfId="0" applyNumberFormat="1" applyFont="1" applyFill="1" applyBorder="1" applyAlignment="1">
      <alignment horizontal="center"/>
    </xf>
    <xf numFmtId="170" fontId="10" fillId="7" borderId="41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22" xfId="0" applyFont="1" applyFill="1" applyBorder="1" applyAlignment="1">
      <alignment horizontal="center"/>
    </xf>
    <xf numFmtId="2" fontId="10" fillId="2" borderId="38" xfId="0" applyNumberFormat="1" applyFont="1" applyFill="1" applyBorder="1" applyAlignment="1">
      <alignment horizontal="center"/>
    </xf>
    <xf numFmtId="10" fontId="10" fillId="2" borderId="26" xfId="0" applyNumberFormat="1" applyFont="1" applyFill="1" applyBorder="1" applyAlignment="1">
      <alignment horizontal="center"/>
    </xf>
    <xf numFmtId="2" fontId="10" fillId="2" borderId="39" xfId="0" applyNumberFormat="1" applyFont="1" applyFill="1" applyBorder="1" applyAlignment="1">
      <alignment horizontal="center"/>
    </xf>
    <xf numFmtId="10" fontId="10" fillId="2" borderId="48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10" fontId="10" fillId="2" borderId="49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0" fontId="10" fillId="2" borderId="22" xfId="0" applyFont="1" applyFill="1" applyBorder="1"/>
    <xf numFmtId="0" fontId="10" fillId="2" borderId="6" xfId="0" applyFont="1" applyFill="1" applyBorder="1"/>
    <xf numFmtId="0" fontId="10" fillId="2" borderId="42" xfId="0" applyFont="1" applyFill="1" applyBorder="1"/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right"/>
    </xf>
    <xf numFmtId="0" fontId="10" fillId="2" borderId="7" xfId="0" applyFont="1" applyFill="1" applyBorder="1" applyProtection="1">
      <protection locked="0"/>
    </xf>
    <xf numFmtId="0" fontId="10" fillId="2" borderId="7" xfId="0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0" xfId="0" applyFont="1" applyFill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3" xfId="0" applyFont="1" applyFill="1" applyBorder="1"/>
    <xf numFmtId="0" fontId="6" fillId="2" borderId="6" xfId="0" applyFont="1" applyFill="1" applyBorder="1"/>
    <xf numFmtId="0" fontId="6" fillId="2" borderId="5" xfId="0" applyFont="1" applyFill="1" applyBorder="1"/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1" fillId="2" borderId="10" xfId="0" applyFont="1" applyFill="1" applyBorder="1" applyAlignment="1"/>
    <xf numFmtId="10" fontId="10" fillId="8" borderId="14" xfId="0" applyNumberFormat="1" applyFont="1" applyFill="1" applyBorder="1" applyAlignment="1">
      <alignment horizontal="center" vertical="center"/>
    </xf>
    <xf numFmtId="10" fontId="10" fillId="8" borderId="15" xfId="0" applyNumberFormat="1" applyFont="1" applyFill="1" applyBorder="1" applyAlignment="1">
      <alignment horizontal="center" vertical="center"/>
    </xf>
    <xf numFmtId="166" fontId="10" fillId="6" borderId="53" xfId="0" applyNumberFormat="1" applyFont="1" applyFill="1" applyBorder="1" applyAlignment="1">
      <alignment horizontal="center"/>
    </xf>
    <xf numFmtId="166" fontId="10" fillId="6" borderId="34" xfId="0" applyNumberFormat="1" applyFont="1" applyFill="1" applyBorder="1" applyAlignment="1">
      <alignment horizontal="center"/>
    </xf>
    <xf numFmtId="166" fontId="10" fillId="6" borderId="46" xfId="0" applyNumberFormat="1" applyFont="1" applyFill="1" applyBorder="1" applyAlignment="1">
      <alignment horizontal="center"/>
    </xf>
    <xf numFmtId="166" fontId="10" fillId="6" borderId="1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4" fillId="2" borderId="0" xfId="0" applyFont="1" applyFill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justify" vertical="center" wrapText="1"/>
    </xf>
    <xf numFmtId="0" fontId="26" fillId="2" borderId="19" xfId="0" applyFont="1" applyFill="1" applyBorder="1" applyAlignment="1">
      <alignment horizontal="justify" vertical="center" wrapText="1"/>
    </xf>
    <xf numFmtId="0" fontId="26" fillId="2" borderId="20" xfId="0" applyFont="1" applyFill="1" applyBorder="1" applyAlignment="1">
      <alignment horizontal="justify" vertical="center" wrapText="1"/>
    </xf>
    <xf numFmtId="0" fontId="24" fillId="2" borderId="35" xfId="0" applyFont="1" applyFill="1" applyBorder="1" applyAlignment="1">
      <alignment horizontal="center"/>
    </xf>
    <xf numFmtId="0" fontId="24" fillId="2" borderId="54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left" vertical="center" wrapText="1"/>
    </xf>
    <xf numFmtId="0" fontId="26" fillId="2" borderId="19" xfId="0" applyFont="1" applyFill="1" applyBorder="1" applyAlignment="1">
      <alignment horizontal="left" vertical="center" wrapText="1"/>
    </xf>
    <xf numFmtId="0" fontId="26" fillId="2" borderId="20" xfId="0" applyFont="1" applyFill="1" applyBorder="1" applyAlignment="1">
      <alignment horizontal="left" vertical="center" wrapText="1"/>
    </xf>
    <xf numFmtId="0" fontId="24" fillId="2" borderId="10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2" fontId="25" fillId="3" borderId="13" xfId="0" applyNumberFormat="1" applyFont="1" applyFill="1" applyBorder="1" applyAlignment="1" applyProtection="1">
      <alignment horizontal="center" vertical="center"/>
      <protection locked="0"/>
    </xf>
    <xf numFmtId="2" fontId="25" fillId="3" borderId="14" xfId="0" applyNumberFormat="1" applyFont="1" applyFill="1" applyBorder="1" applyAlignment="1" applyProtection="1">
      <alignment horizontal="center" vertical="center"/>
      <protection locked="0"/>
    </xf>
    <xf numFmtId="2" fontId="25" fillId="3" borderId="15" xfId="0" applyNumberFormat="1" applyFont="1" applyFill="1" applyBorder="1" applyAlignment="1" applyProtection="1">
      <alignment horizontal="center" vertical="center"/>
      <protection locked="0"/>
    </xf>
    <xf numFmtId="0" fontId="24" fillId="2" borderId="47" xfId="0" applyFont="1" applyFill="1" applyBorder="1" applyAlignment="1">
      <alignment horizontal="center"/>
    </xf>
    <xf numFmtId="0" fontId="26" fillId="2" borderId="21" xfId="0" applyFont="1" applyFill="1" applyBorder="1" applyAlignment="1">
      <alignment horizontal="left" vertical="center" wrapText="1"/>
    </xf>
    <xf numFmtId="0" fontId="26" fillId="2" borderId="24" xfId="0" applyFont="1" applyFill="1" applyBorder="1" applyAlignment="1">
      <alignment horizontal="left" vertical="center" wrapText="1"/>
    </xf>
    <xf numFmtId="0" fontId="26" fillId="2" borderId="42" xfId="0" applyFont="1" applyFill="1" applyBorder="1" applyAlignment="1">
      <alignment horizontal="left" vertical="center" wrapText="1"/>
    </xf>
    <xf numFmtId="0" fontId="26" fillId="2" borderId="50" xfId="0" applyFont="1" applyFill="1" applyBorder="1" applyAlignment="1">
      <alignment horizontal="left" vertical="center" wrapText="1"/>
    </xf>
    <xf numFmtId="0" fontId="26" fillId="2" borderId="10" xfId="0" applyFont="1" applyFill="1" applyBorder="1" applyAlignment="1">
      <alignment horizontal="left" vertical="center" wrapText="1"/>
    </xf>
    <xf numFmtId="0" fontId="26" fillId="2" borderId="9" xfId="0" applyFont="1" applyFill="1" applyBorder="1" applyAlignment="1">
      <alignment horizontal="left" vertical="center" wrapText="1"/>
    </xf>
    <xf numFmtId="0" fontId="26" fillId="2" borderId="21" xfId="0" applyFont="1" applyFill="1" applyBorder="1" applyAlignment="1">
      <alignment horizontal="center" vertical="center" wrapText="1"/>
    </xf>
    <xf numFmtId="0" fontId="26" fillId="2" borderId="24" xfId="0" applyFont="1" applyFill="1" applyBorder="1" applyAlignment="1">
      <alignment horizontal="center" vertical="center" wrapText="1"/>
    </xf>
    <xf numFmtId="0" fontId="26" fillId="2" borderId="42" xfId="0" applyFont="1" applyFill="1" applyBorder="1" applyAlignment="1">
      <alignment horizontal="center" vertical="center" wrapText="1"/>
    </xf>
    <xf numFmtId="0" fontId="26" fillId="2" borderId="5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18" xfId="0" applyFont="1" applyFill="1" applyBorder="1" applyAlignment="1">
      <alignment horizontal="center"/>
    </xf>
    <xf numFmtId="0" fontId="22" fillId="2" borderId="19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0" fontId="25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0" fillId="2" borderId="35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0" fontId="10" fillId="2" borderId="47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42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2" fillId="2" borderId="50" xfId="0" applyFont="1" applyFill="1" applyBorder="1" applyAlignment="1">
      <alignment horizontal="center" vertical="center" wrapText="1"/>
    </xf>
    <xf numFmtId="2" fontId="16" fillId="3" borderId="13" xfId="0" applyNumberFormat="1" applyFont="1" applyFill="1" applyBorder="1" applyAlignment="1" applyProtection="1">
      <alignment horizontal="center" vertical="center"/>
      <protection locked="0"/>
    </xf>
    <xf numFmtId="2" fontId="16" fillId="3" borderId="14" xfId="0" applyNumberFormat="1" applyFont="1" applyFill="1" applyBorder="1" applyAlignment="1" applyProtection="1">
      <alignment horizontal="center" vertical="center"/>
      <protection locked="0"/>
    </xf>
    <xf numFmtId="2" fontId="16" fillId="3" borderId="15" xfId="0" applyNumberFormat="1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75"/>
  <sheetViews>
    <sheetView topLeftCell="A54" workbookViewId="0">
      <selection activeCell="B57" sqref="B57"/>
    </sheetView>
  </sheetViews>
  <sheetFormatPr defaultRowHeight="15" x14ac:dyDescent="0.3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1.5703125" style="1" customWidth="1"/>
    <col min="7" max="7" width="9.140625" style="1" customWidth="1"/>
    <col min="8" max="16384" width="9.140625" style="123"/>
  </cols>
  <sheetData>
    <row r="6" spans="1:5" ht="15" customHeight="1" x14ac:dyDescent="0.3">
      <c r="C6" s="15"/>
    </row>
    <row r="7" spans="1:5" ht="18.75" customHeight="1" x14ac:dyDescent="0.3">
      <c r="A7" s="374" t="s">
        <v>0</v>
      </c>
      <c r="B7" s="374"/>
      <c r="C7" s="374"/>
      <c r="D7" s="374"/>
      <c r="E7" s="374"/>
    </row>
    <row r="8" spans="1:5" ht="16.5" customHeight="1" x14ac:dyDescent="0.3">
      <c r="A8" s="55" t="s">
        <v>1</v>
      </c>
      <c r="B8" s="24" t="s">
        <v>2</v>
      </c>
    </row>
    <row r="9" spans="1:5" ht="16.5" customHeight="1" x14ac:dyDescent="0.3">
      <c r="A9" s="2" t="s">
        <v>3</v>
      </c>
      <c r="B9" s="2" t="str">
        <f>'ARTEMETHER '!B18:C18</f>
        <v>MALAR-2 FORTE DS</v>
      </c>
      <c r="D9" s="3"/>
      <c r="E9" s="40"/>
    </row>
    <row r="10" spans="1:5" ht="16.5" customHeight="1" x14ac:dyDescent="0.3">
      <c r="A10" s="40" t="s">
        <v>4</v>
      </c>
      <c r="B10" s="2" t="str">
        <f>'ARTEMETHER '!B26:C26</f>
        <v>ARTEMETHER</v>
      </c>
      <c r="C10" s="40"/>
      <c r="D10" s="40"/>
      <c r="E10" s="40"/>
    </row>
    <row r="11" spans="1:5" ht="16.5" customHeight="1" x14ac:dyDescent="0.3">
      <c r="A11" s="40" t="s">
        <v>6</v>
      </c>
      <c r="B11" s="4">
        <f>'ARTEMETHER '!B28</f>
        <v>99.8</v>
      </c>
      <c r="C11" s="40"/>
      <c r="D11" s="40"/>
      <c r="E11" s="40"/>
    </row>
    <row r="12" spans="1:5" ht="16.5" customHeight="1" x14ac:dyDescent="0.3">
      <c r="A12" s="2" t="s">
        <v>8</v>
      </c>
      <c r="B12" s="4">
        <f>'ARTEMETHER '!D43</f>
        <v>23.61</v>
      </c>
      <c r="C12" s="40"/>
      <c r="D12" s="40"/>
      <c r="E12" s="40"/>
    </row>
    <row r="13" spans="1:5" ht="16.5" customHeight="1" x14ac:dyDescent="0.3">
      <c r="A13" s="2" t="s">
        <v>10</v>
      </c>
      <c r="B13" s="5">
        <f>'ARTEMETHER '!D46</f>
        <v>0.23562779999999997</v>
      </c>
      <c r="C13" s="40"/>
      <c r="D13" s="40"/>
      <c r="E13" s="40"/>
    </row>
    <row r="14" spans="1:5" ht="15.75" customHeight="1" x14ac:dyDescent="0.3">
      <c r="A14" s="40"/>
      <c r="B14" s="40"/>
      <c r="C14" s="40"/>
      <c r="D14" s="40"/>
      <c r="E14" s="40"/>
    </row>
    <row r="15" spans="1:5" ht="16.5" customHeight="1" x14ac:dyDescent="0.3">
      <c r="A15" s="7" t="s">
        <v>12</v>
      </c>
      <c r="B15" s="6" t="s">
        <v>13</v>
      </c>
      <c r="C15" s="7" t="s">
        <v>14</v>
      </c>
      <c r="D15" s="7" t="s">
        <v>15</v>
      </c>
      <c r="E15" s="7" t="s">
        <v>16</v>
      </c>
    </row>
    <row r="16" spans="1:5" ht="16.5" customHeight="1" x14ac:dyDescent="0.3">
      <c r="A16" s="124">
        <v>1</v>
      </c>
      <c r="B16" s="125">
        <v>2026186</v>
      </c>
      <c r="C16" s="126">
        <v>7004.27</v>
      </c>
      <c r="D16" s="126">
        <v>1.1000000000000001</v>
      </c>
      <c r="E16" s="127">
        <v>4.54</v>
      </c>
    </row>
    <row r="17" spans="1:5" ht="16.5" customHeight="1" x14ac:dyDescent="0.3">
      <c r="A17" s="124">
        <v>2</v>
      </c>
      <c r="B17" s="125">
        <v>2017378</v>
      </c>
      <c r="C17" s="126">
        <v>7048.34</v>
      </c>
      <c r="D17" s="126">
        <v>1.07</v>
      </c>
      <c r="E17" s="126">
        <v>4.55</v>
      </c>
    </row>
    <row r="18" spans="1:5" ht="16.5" customHeight="1" x14ac:dyDescent="0.3">
      <c r="A18" s="124">
        <v>3</v>
      </c>
      <c r="B18" s="125">
        <v>2021715</v>
      </c>
      <c r="C18" s="126">
        <v>7043.38</v>
      </c>
      <c r="D18" s="126">
        <v>1.0900000000000001</v>
      </c>
      <c r="E18" s="126">
        <v>4.55</v>
      </c>
    </row>
    <row r="19" spans="1:5" ht="16.5" customHeight="1" x14ac:dyDescent="0.3">
      <c r="A19" s="124">
        <v>4</v>
      </c>
      <c r="B19" s="125">
        <v>2019065</v>
      </c>
      <c r="C19" s="126">
        <v>7057.42</v>
      </c>
      <c r="D19" s="126">
        <v>1.08</v>
      </c>
      <c r="E19" s="126">
        <v>4.55</v>
      </c>
    </row>
    <row r="20" spans="1:5" ht="16.5" customHeight="1" x14ac:dyDescent="0.3">
      <c r="A20" s="124">
        <v>5</v>
      </c>
      <c r="B20" s="125">
        <v>2019791</v>
      </c>
      <c r="C20" s="126">
        <v>7060.7</v>
      </c>
      <c r="D20" s="126">
        <v>1.08</v>
      </c>
      <c r="E20" s="126">
        <v>4.55</v>
      </c>
    </row>
    <row r="21" spans="1:5" ht="16.5" customHeight="1" x14ac:dyDescent="0.3">
      <c r="A21" s="124">
        <v>6</v>
      </c>
      <c r="B21" s="128">
        <v>2021713</v>
      </c>
      <c r="C21" s="129">
        <v>7039.85</v>
      </c>
      <c r="D21" s="129">
        <v>1.0900000000000001</v>
      </c>
      <c r="E21" s="129">
        <v>4.55</v>
      </c>
    </row>
    <row r="22" spans="1:5" ht="16.5" customHeight="1" x14ac:dyDescent="0.3">
      <c r="A22" s="130" t="s">
        <v>17</v>
      </c>
      <c r="B22" s="8">
        <f>AVERAGE(B16:B21)</f>
        <v>2020974.6666666667</v>
      </c>
      <c r="C22" s="9">
        <f>AVERAGE(C16:C21)</f>
        <v>7042.3266666666668</v>
      </c>
      <c r="D22" s="10">
        <f>AVERAGE(D16:D21)</f>
        <v>1.085</v>
      </c>
      <c r="E22" s="10">
        <f>AVERAGE(E16:E21)</f>
        <v>4.5483333333333338</v>
      </c>
    </row>
    <row r="23" spans="1:5" ht="16.5" customHeight="1" x14ac:dyDescent="0.3">
      <c r="A23" s="131" t="s">
        <v>18</v>
      </c>
      <c r="B23" s="11">
        <f>(STDEV(B16:B21)/B22)</f>
        <v>1.5046662046228933E-3</v>
      </c>
      <c r="C23" s="12"/>
      <c r="D23" s="12"/>
      <c r="E23" s="132"/>
    </row>
    <row r="24" spans="1:5" s="1" customFormat="1" ht="16.5" customHeight="1" x14ac:dyDescent="0.3">
      <c r="A24" s="133" t="s">
        <v>19</v>
      </c>
      <c r="B24" s="13">
        <f>COUNT(B16:B21)</f>
        <v>6</v>
      </c>
      <c r="C24" s="14"/>
      <c r="D24" s="134"/>
      <c r="E24" s="135"/>
    </row>
    <row r="25" spans="1:5" s="1" customFormat="1" ht="15.75" customHeight="1" x14ac:dyDescent="0.3">
      <c r="A25" s="40"/>
      <c r="B25" s="40"/>
      <c r="C25" s="40"/>
      <c r="D25" s="40"/>
      <c r="E25" s="40"/>
    </row>
    <row r="26" spans="1:5" s="1" customFormat="1" ht="16.5" customHeight="1" x14ac:dyDescent="0.3">
      <c r="A26" s="40" t="s">
        <v>20</v>
      </c>
      <c r="B26" s="136" t="s">
        <v>109</v>
      </c>
      <c r="C26" s="137"/>
      <c r="D26" s="137"/>
      <c r="E26" s="137"/>
    </row>
    <row r="27" spans="1:5" ht="16.5" customHeight="1" x14ac:dyDescent="0.3">
      <c r="A27" s="40"/>
      <c r="B27" s="136" t="s">
        <v>110</v>
      </c>
      <c r="C27" s="137"/>
      <c r="D27" s="137"/>
      <c r="E27" s="137"/>
    </row>
    <row r="28" spans="1:5" ht="16.5" customHeight="1" x14ac:dyDescent="0.3">
      <c r="A28" s="40"/>
      <c r="B28" s="136" t="s">
        <v>111</v>
      </c>
      <c r="C28" s="137"/>
      <c r="D28" s="137"/>
      <c r="E28" s="137"/>
    </row>
    <row r="29" spans="1:5" ht="15.75" customHeight="1" x14ac:dyDescent="0.3">
      <c r="A29" s="40"/>
      <c r="B29" s="40"/>
      <c r="C29" s="40"/>
      <c r="D29" s="40"/>
      <c r="E29" s="40"/>
    </row>
    <row r="30" spans="1:5" ht="16.5" customHeight="1" x14ac:dyDescent="0.3">
      <c r="A30" s="55" t="s">
        <v>1</v>
      </c>
      <c r="B30" s="24" t="s">
        <v>21</v>
      </c>
    </row>
    <row r="31" spans="1:5" ht="16.5" customHeight="1" x14ac:dyDescent="0.3">
      <c r="A31" s="40" t="s">
        <v>4</v>
      </c>
      <c r="B31" s="2" t="str">
        <f>'ARTEMETHER '!B80:C80</f>
        <v>ARTEMETHER</v>
      </c>
      <c r="C31" s="40"/>
      <c r="D31" s="40"/>
      <c r="E31" s="40"/>
    </row>
    <row r="32" spans="1:5" ht="16.5" customHeight="1" x14ac:dyDescent="0.3">
      <c r="A32" s="40" t="s">
        <v>6</v>
      </c>
      <c r="B32" s="4">
        <f>'ARTEMETHER '!B82</f>
        <v>99.8</v>
      </c>
      <c r="C32" s="40"/>
      <c r="D32" s="40"/>
      <c r="E32" s="40"/>
    </row>
    <row r="33" spans="1:5" ht="16.5" customHeight="1" x14ac:dyDescent="0.3">
      <c r="A33" s="2" t="s">
        <v>8</v>
      </c>
      <c r="B33" s="4">
        <f>'ARTEMETHER '!D97</f>
        <v>23.92</v>
      </c>
      <c r="C33" s="40"/>
      <c r="D33" s="40"/>
      <c r="E33" s="40"/>
    </row>
    <row r="34" spans="1:5" ht="16.5" customHeight="1" x14ac:dyDescent="0.3">
      <c r="A34" s="2" t="s">
        <v>10</v>
      </c>
      <c r="B34" s="5">
        <f>'ARTEMETHER '!D100</f>
        <v>2.3872159999999996E-2</v>
      </c>
      <c r="C34" s="40"/>
      <c r="D34" s="40"/>
      <c r="E34" s="40"/>
    </row>
    <row r="35" spans="1:5" ht="15.75" customHeight="1" x14ac:dyDescent="0.3">
      <c r="A35" s="40"/>
      <c r="B35" s="40"/>
      <c r="C35" s="40"/>
      <c r="D35" s="40"/>
      <c r="E35" s="40"/>
    </row>
    <row r="36" spans="1:5" ht="16.5" customHeight="1" x14ac:dyDescent="0.3">
      <c r="A36" s="7" t="s">
        <v>12</v>
      </c>
      <c r="B36" s="6" t="s">
        <v>13</v>
      </c>
      <c r="C36" s="7" t="s">
        <v>14</v>
      </c>
      <c r="D36" s="7" t="s">
        <v>15</v>
      </c>
      <c r="E36" s="7" t="s">
        <v>16</v>
      </c>
    </row>
    <row r="37" spans="1:5" ht="16.5" customHeight="1" x14ac:dyDescent="0.3">
      <c r="A37" s="124">
        <v>1</v>
      </c>
      <c r="B37" s="125">
        <v>1567219</v>
      </c>
      <c r="C37" s="125">
        <v>12905.23</v>
      </c>
      <c r="D37" s="126">
        <v>0.98</v>
      </c>
      <c r="E37" s="127">
        <v>9.02</v>
      </c>
    </row>
    <row r="38" spans="1:5" ht="16.5" customHeight="1" x14ac:dyDescent="0.3">
      <c r="A38" s="124">
        <v>2</v>
      </c>
      <c r="B38" s="125">
        <v>1564818</v>
      </c>
      <c r="C38" s="125">
        <v>12730.26</v>
      </c>
      <c r="D38" s="126">
        <v>0.98</v>
      </c>
      <c r="E38" s="126">
        <v>9.02</v>
      </c>
    </row>
    <row r="39" spans="1:5" ht="16.5" customHeight="1" x14ac:dyDescent="0.3">
      <c r="A39" s="124">
        <v>3</v>
      </c>
      <c r="B39" s="125">
        <v>1566946</v>
      </c>
      <c r="C39" s="125">
        <v>12589.65</v>
      </c>
      <c r="D39" s="126">
        <v>0.97</v>
      </c>
      <c r="E39" s="126">
        <v>9.02</v>
      </c>
    </row>
    <row r="40" spans="1:5" ht="16.5" customHeight="1" x14ac:dyDescent="0.3">
      <c r="A40" s="124">
        <v>4</v>
      </c>
      <c r="B40" s="125">
        <v>1566543</v>
      </c>
      <c r="C40" s="125">
        <v>12508.57</v>
      </c>
      <c r="D40" s="126">
        <v>0.97</v>
      </c>
      <c r="E40" s="126">
        <v>9.02</v>
      </c>
    </row>
    <row r="41" spans="1:5" ht="16.5" customHeight="1" x14ac:dyDescent="0.3">
      <c r="A41" s="124">
        <v>5</v>
      </c>
      <c r="B41" s="125">
        <v>1564489</v>
      </c>
      <c r="C41" s="125">
        <v>12388.38</v>
      </c>
      <c r="D41" s="126">
        <v>0.97</v>
      </c>
      <c r="E41" s="126">
        <v>9.02</v>
      </c>
    </row>
    <row r="42" spans="1:5" ht="16.5" customHeight="1" x14ac:dyDescent="0.3">
      <c r="A42" s="124">
        <v>6</v>
      </c>
      <c r="B42" s="128">
        <v>1563373</v>
      </c>
      <c r="C42" s="128">
        <v>12421.91</v>
      </c>
      <c r="D42" s="129">
        <v>0.96</v>
      </c>
      <c r="E42" s="129">
        <v>9.02</v>
      </c>
    </row>
    <row r="43" spans="1:5" ht="16.5" customHeight="1" x14ac:dyDescent="0.3">
      <c r="A43" s="130" t="s">
        <v>17</v>
      </c>
      <c r="B43" s="8">
        <f>AVERAGE(B37:B42)</f>
        <v>1565564.6666666667</v>
      </c>
      <c r="C43" s="9">
        <f>AVERAGE(C37:C42)</f>
        <v>12590.666666666666</v>
      </c>
      <c r="D43" s="10">
        <f>AVERAGE(D37:D42)</f>
        <v>0.97166666666666657</v>
      </c>
      <c r="E43" s="10">
        <f>AVERAGE(E37:E42)</f>
        <v>9.0199999999999978</v>
      </c>
    </row>
    <row r="44" spans="1:5" ht="16.5" customHeight="1" x14ac:dyDescent="0.3">
      <c r="A44" s="131" t="s">
        <v>18</v>
      </c>
      <c r="B44" s="11">
        <f>(STDEV(B37:B42)/B43)</f>
        <v>9.9447864984795542E-4</v>
      </c>
      <c r="C44" s="12"/>
      <c r="D44" s="12"/>
      <c r="E44" s="132"/>
    </row>
    <row r="45" spans="1:5" s="1" customFormat="1" ht="16.5" customHeight="1" x14ac:dyDescent="0.3">
      <c r="A45" s="133" t="s">
        <v>19</v>
      </c>
      <c r="B45" s="13">
        <f>COUNT(B37:B42)</f>
        <v>6</v>
      </c>
      <c r="C45" s="14"/>
      <c r="D45" s="134"/>
      <c r="E45" s="135"/>
    </row>
    <row r="46" spans="1:5" s="1" customFormat="1" ht="15.75" customHeight="1" x14ac:dyDescent="0.3">
      <c r="A46" s="40"/>
      <c r="B46" s="40"/>
      <c r="C46" s="40"/>
      <c r="D46" s="40"/>
      <c r="E46" s="40"/>
    </row>
    <row r="47" spans="1:5" s="1" customFormat="1" ht="16.5" customHeight="1" x14ac:dyDescent="0.3">
      <c r="A47" s="40" t="s">
        <v>20</v>
      </c>
      <c r="B47" s="136" t="s">
        <v>109</v>
      </c>
      <c r="C47" s="137"/>
      <c r="D47" s="137"/>
      <c r="E47" s="137"/>
    </row>
    <row r="48" spans="1:5" ht="16.5" customHeight="1" x14ac:dyDescent="0.3">
      <c r="A48" s="40"/>
      <c r="B48" s="136" t="s">
        <v>110</v>
      </c>
      <c r="C48" s="137"/>
      <c r="D48" s="137"/>
      <c r="E48" s="137"/>
    </row>
    <row r="49" spans="1:5" ht="16.5" customHeight="1" x14ac:dyDescent="0.3">
      <c r="A49" s="40"/>
      <c r="B49" s="136" t="s">
        <v>111</v>
      </c>
      <c r="C49" s="137"/>
      <c r="D49" s="137"/>
      <c r="E49" s="137"/>
    </row>
    <row r="50" spans="1:5" ht="16.5" customHeight="1" x14ac:dyDescent="0.3">
      <c r="A50" s="40"/>
      <c r="B50" s="136"/>
      <c r="C50" s="137"/>
      <c r="D50" s="137"/>
      <c r="E50" s="137"/>
    </row>
    <row r="51" spans="1:5" ht="15" customHeight="1" x14ac:dyDescent="0.3">
      <c r="A51" s="55" t="s">
        <v>1</v>
      </c>
      <c r="B51" s="24" t="s">
        <v>2</v>
      </c>
      <c r="C51" s="358"/>
      <c r="D51" s="358"/>
      <c r="E51" s="358"/>
    </row>
    <row r="52" spans="1:5" ht="15" customHeight="1" x14ac:dyDescent="0.3">
      <c r="A52" s="2" t="s">
        <v>3</v>
      </c>
      <c r="B52" s="2" t="str">
        <f>B9</f>
        <v>MALAR-2 FORTE DS</v>
      </c>
      <c r="C52" s="358"/>
      <c r="D52" s="3"/>
      <c r="E52" s="37"/>
    </row>
    <row r="53" spans="1:5" ht="15" customHeight="1" x14ac:dyDescent="0.3">
      <c r="A53" s="40" t="s">
        <v>4</v>
      </c>
      <c r="B53" s="123" t="str">
        <f>LUMEFANTRINE!B26</f>
        <v xml:space="preserve">Lumefantrine </v>
      </c>
      <c r="C53" s="37"/>
      <c r="D53" s="37"/>
      <c r="E53" s="37"/>
    </row>
    <row r="54" spans="1:5" ht="16.5" x14ac:dyDescent="0.3">
      <c r="A54" s="40" t="s">
        <v>6</v>
      </c>
      <c r="B54" s="4">
        <f>LUMEFANTRINE!B30</f>
        <v>100.2</v>
      </c>
      <c r="C54" s="37"/>
      <c r="D54" s="37"/>
      <c r="E54" s="37"/>
    </row>
    <row r="55" spans="1:5" ht="16.5" x14ac:dyDescent="0.3">
      <c r="A55" s="2" t="s">
        <v>8</v>
      </c>
      <c r="B55" s="4">
        <f>LUMEFANTRINE!D43</f>
        <v>14.52</v>
      </c>
      <c r="C55" s="37"/>
      <c r="D55" s="37"/>
      <c r="E55" s="37"/>
    </row>
    <row r="56" spans="1:5" ht="16.5" x14ac:dyDescent="0.3">
      <c r="A56" s="2" t="s">
        <v>10</v>
      </c>
      <c r="B56" s="5">
        <f>B55/LUMEFANTRINE!B45</f>
        <v>5.808E-2</v>
      </c>
      <c r="C56" s="37"/>
      <c r="D56" s="37"/>
      <c r="E56" s="37"/>
    </row>
    <row r="57" spans="1:5" ht="16.5" x14ac:dyDescent="0.3">
      <c r="A57" s="37"/>
      <c r="B57" s="37"/>
      <c r="C57" s="37"/>
      <c r="D57" s="37"/>
      <c r="E57" s="37"/>
    </row>
    <row r="58" spans="1:5" ht="16.5" x14ac:dyDescent="0.3">
      <c r="A58" s="7" t="s">
        <v>12</v>
      </c>
      <c r="B58" s="6" t="s">
        <v>13</v>
      </c>
      <c r="C58" s="7" t="s">
        <v>14</v>
      </c>
      <c r="D58" s="7" t="s">
        <v>15</v>
      </c>
      <c r="E58" s="7" t="s">
        <v>16</v>
      </c>
    </row>
    <row r="59" spans="1:5" ht="16.5" x14ac:dyDescent="0.3">
      <c r="A59" s="359">
        <v>1</v>
      </c>
      <c r="B59" s="125">
        <v>7476000</v>
      </c>
      <c r="C59" s="126">
        <v>3926.73</v>
      </c>
      <c r="D59" s="126">
        <v>0.97</v>
      </c>
      <c r="E59" s="127">
        <v>3.8</v>
      </c>
    </row>
    <row r="60" spans="1:5" ht="16.5" x14ac:dyDescent="0.3">
      <c r="A60" s="359">
        <v>2</v>
      </c>
      <c r="B60" s="125">
        <v>7495659</v>
      </c>
      <c r="C60" s="126">
        <v>3906.2</v>
      </c>
      <c r="D60" s="126">
        <v>0.97</v>
      </c>
      <c r="E60" s="126">
        <v>3.8</v>
      </c>
    </row>
    <row r="61" spans="1:5" ht="16.5" x14ac:dyDescent="0.3">
      <c r="A61" s="359">
        <v>3</v>
      </c>
      <c r="B61" s="125">
        <v>7500415</v>
      </c>
      <c r="C61" s="126">
        <v>3890.42</v>
      </c>
      <c r="D61" s="126">
        <v>0.96</v>
      </c>
      <c r="E61" s="126">
        <v>3.8</v>
      </c>
    </row>
    <row r="62" spans="1:5" ht="16.5" x14ac:dyDescent="0.3">
      <c r="A62" s="359">
        <v>4</v>
      </c>
      <c r="B62" s="125">
        <v>7507896</v>
      </c>
      <c r="C62" s="126">
        <v>3900.71</v>
      </c>
      <c r="D62" s="126">
        <v>0.96</v>
      </c>
      <c r="E62" s="126">
        <v>3.8</v>
      </c>
    </row>
    <row r="63" spans="1:5" ht="16.5" x14ac:dyDescent="0.3">
      <c r="A63" s="359">
        <v>5</v>
      </c>
      <c r="B63" s="125">
        <v>7515115</v>
      </c>
      <c r="C63" s="126">
        <v>3894.7</v>
      </c>
      <c r="D63" s="126">
        <v>0.96</v>
      </c>
      <c r="E63" s="126">
        <v>3.8</v>
      </c>
    </row>
    <row r="64" spans="1:5" ht="16.5" x14ac:dyDescent="0.3">
      <c r="A64" s="359">
        <v>6</v>
      </c>
      <c r="B64" s="128">
        <v>7507986</v>
      </c>
      <c r="C64" s="129">
        <v>3895.21</v>
      </c>
      <c r="D64" s="129">
        <v>0.98</v>
      </c>
      <c r="E64" s="129">
        <v>3.8</v>
      </c>
    </row>
    <row r="65" spans="1:5" ht="16.5" x14ac:dyDescent="0.3">
      <c r="A65" s="360" t="s">
        <v>17</v>
      </c>
      <c r="B65" s="8">
        <f>AVERAGE(B59:B64)</f>
        <v>7500511.833333333</v>
      </c>
      <c r="C65" s="10">
        <f>AVERAGE(C59:C64)</f>
        <v>3902.3283333333334</v>
      </c>
      <c r="D65" s="10">
        <f>AVERAGE(D59:D64)</f>
        <v>0.96666666666666679</v>
      </c>
      <c r="E65" s="10">
        <f>AVERAGE(E59:E64)</f>
        <v>3.8000000000000003</v>
      </c>
    </row>
    <row r="66" spans="1:5" ht="16.5" x14ac:dyDescent="0.3">
      <c r="A66" s="361" t="s">
        <v>18</v>
      </c>
      <c r="B66" s="11">
        <f>(STDEV(B59:B64)/B65)</f>
        <v>1.8358421819301941E-3</v>
      </c>
      <c r="C66" s="12"/>
      <c r="D66" s="12"/>
      <c r="E66" s="362"/>
    </row>
    <row r="67" spans="1:5" ht="16.5" x14ac:dyDescent="0.3">
      <c r="A67" s="363" t="s">
        <v>19</v>
      </c>
      <c r="B67" s="13">
        <f>COUNT(B59:B64)</f>
        <v>6</v>
      </c>
      <c r="C67" s="14"/>
      <c r="D67" s="38"/>
      <c r="E67" s="364"/>
    </row>
    <row r="68" spans="1:5" ht="16.5" x14ac:dyDescent="0.3">
      <c r="A68" s="37"/>
      <c r="B68" s="37"/>
      <c r="C68" s="37"/>
      <c r="D68" s="37"/>
      <c r="E68" s="37"/>
    </row>
    <row r="69" spans="1:5" ht="16.5" x14ac:dyDescent="0.3">
      <c r="A69" s="40" t="s">
        <v>20</v>
      </c>
      <c r="B69" s="365" t="s">
        <v>144</v>
      </c>
      <c r="C69" s="366"/>
      <c r="D69" s="366"/>
      <c r="E69" s="366"/>
    </row>
    <row r="70" spans="1:5" ht="16.5" x14ac:dyDescent="0.3">
      <c r="A70" s="40"/>
      <c r="B70" s="365" t="s">
        <v>145</v>
      </c>
      <c r="C70" s="366"/>
      <c r="D70" s="366"/>
      <c r="E70" s="366"/>
    </row>
    <row r="71" spans="1:5" ht="16.5" x14ac:dyDescent="0.3">
      <c r="A71" s="40"/>
      <c r="B71" s="365" t="s">
        <v>146</v>
      </c>
      <c r="C71" s="366"/>
      <c r="D71" s="366"/>
      <c r="E71" s="366"/>
    </row>
    <row r="72" spans="1:5" ht="15.75" thickBot="1" x14ac:dyDescent="0.35">
      <c r="A72" s="138"/>
      <c r="B72" s="139"/>
      <c r="D72" s="140"/>
    </row>
    <row r="73" spans="1:5" x14ac:dyDescent="0.3">
      <c r="B73" s="367" t="s">
        <v>22</v>
      </c>
      <c r="C73" s="357" t="s">
        <v>23</v>
      </c>
      <c r="E73" s="357" t="s">
        <v>24</v>
      </c>
    </row>
    <row r="74" spans="1:5" x14ac:dyDescent="0.3">
      <c r="A74" s="15" t="s">
        <v>25</v>
      </c>
      <c r="B74" s="141"/>
      <c r="C74" s="141"/>
      <c r="E74" s="141"/>
    </row>
    <row r="75" spans="1:5" x14ac:dyDescent="0.3">
      <c r="A75" s="15" t="s">
        <v>26</v>
      </c>
      <c r="B75" s="16"/>
      <c r="C75" s="16"/>
      <c r="E75" s="16"/>
    </row>
  </sheetData>
  <sheetProtection formatCells="0" formatColumns="0" formatRows="0" insertColumns="0" insertRows="0" insertHyperlinks="0" deleteColumns="0" deleteRows="0" sort="0" autoFilter="0" pivotTables="0"/>
  <mergeCells count="1">
    <mergeCell ref="A7:E7"/>
  </mergeCells>
  <pageMargins left="0.7" right="0.7" top="0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D18" sqref="D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5.710937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78" t="s">
        <v>27</v>
      </c>
      <c r="B11" s="379"/>
      <c r="C11" s="379"/>
      <c r="D11" s="379"/>
      <c r="E11" s="379"/>
      <c r="F11" s="380"/>
      <c r="G11" s="56"/>
    </row>
    <row r="12" spans="1:7" ht="16.5" customHeight="1" x14ac:dyDescent="0.3">
      <c r="A12" s="377" t="s">
        <v>28</v>
      </c>
      <c r="B12" s="377"/>
      <c r="C12" s="377"/>
      <c r="D12" s="377"/>
      <c r="E12" s="377"/>
      <c r="F12" s="377"/>
      <c r="G12" s="55"/>
    </row>
    <row r="14" spans="1:7" ht="16.5" customHeight="1" x14ac:dyDescent="0.3">
      <c r="A14" s="382" t="s">
        <v>29</v>
      </c>
      <c r="B14" s="382"/>
      <c r="C14" s="25" t="s">
        <v>5</v>
      </c>
    </row>
    <row r="15" spans="1:7" ht="16.5" customHeight="1" x14ac:dyDescent="0.3">
      <c r="A15" s="382" t="s">
        <v>30</v>
      </c>
      <c r="B15" s="382"/>
      <c r="C15" s="25" t="s">
        <v>7</v>
      </c>
    </row>
    <row r="16" spans="1:7" ht="16.5" customHeight="1" x14ac:dyDescent="0.3">
      <c r="A16" s="382" t="s">
        <v>31</v>
      </c>
      <c r="B16" s="382"/>
      <c r="C16" s="25" t="s">
        <v>9</v>
      </c>
    </row>
    <row r="17" spans="1:5" ht="16.5" customHeight="1" x14ac:dyDescent="0.3">
      <c r="A17" s="382" t="s">
        <v>32</v>
      </c>
      <c r="B17" s="382"/>
      <c r="C17" s="25" t="s">
        <v>11</v>
      </c>
    </row>
    <row r="18" spans="1:5" ht="16.5" customHeight="1" x14ac:dyDescent="0.3">
      <c r="A18" s="382" t="s">
        <v>33</v>
      </c>
      <c r="B18" s="382"/>
      <c r="C18" s="115" t="str">
        <f>'ARTEMETHER '!B22</f>
        <v>29TH Oct 2015</v>
      </c>
    </row>
    <row r="19" spans="1:5" ht="16.5" customHeight="1" x14ac:dyDescent="0.3">
      <c r="A19" s="382" t="s">
        <v>34</v>
      </c>
      <c r="B19" s="382"/>
      <c r="C19" s="115" t="str">
        <f>'ARTEMETHER '!B23</f>
        <v>4th Dec 2015</v>
      </c>
    </row>
    <row r="20" spans="1:5" ht="16.5" customHeight="1" x14ac:dyDescent="0.3">
      <c r="A20" s="27"/>
      <c r="B20" s="27"/>
      <c r="C20" s="42"/>
    </row>
    <row r="21" spans="1:5" ht="16.5" customHeight="1" x14ac:dyDescent="0.3">
      <c r="A21" s="377" t="s">
        <v>1</v>
      </c>
      <c r="B21" s="377"/>
      <c r="C21" s="24" t="s">
        <v>35</v>
      </c>
      <c r="D21" s="31"/>
    </row>
    <row r="22" spans="1:5" ht="15.75" customHeight="1" x14ac:dyDescent="0.3">
      <c r="A22" s="381"/>
      <c r="B22" s="381"/>
      <c r="C22" s="22"/>
      <c r="D22" s="381"/>
      <c r="E22" s="381"/>
    </row>
    <row r="23" spans="1:5" ht="33.75" customHeight="1" x14ac:dyDescent="0.3">
      <c r="C23" s="51" t="s">
        <v>36</v>
      </c>
      <c r="D23" s="50" t="s">
        <v>37</v>
      </c>
      <c r="E23" s="17"/>
    </row>
    <row r="24" spans="1:5" ht="15.75" customHeight="1" x14ac:dyDescent="0.3">
      <c r="C24" s="60">
        <v>897.35</v>
      </c>
      <c r="D24" s="52">
        <f t="shared" ref="D24:D43" si="0">(C24-$C$46)/$C$46</f>
        <v>-1.6670091089651614E-2</v>
      </c>
      <c r="E24" s="18"/>
    </row>
    <row r="25" spans="1:5" ht="15.75" customHeight="1" x14ac:dyDescent="0.3">
      <c r="C25" s="60">
        <v>924.08</v>
      </c>
      <c r="D25" s="53">
        <f t="shared" si="0"/>
        <v>1.2621053352509895E-2</v>
      </c>
      <c r="E25" s="18"/>
    </row>
    <row r="26" spans="1:5" ht="15.75" customHeight="1" x14ac:dyDescent="0.3">
      <c r="C26" s="60">
        <v>896.2</v>
      </c>
      <c r="D26" s="53">
        <f t="shared" si="0"/>
        <v>-1.7930278748031152E-2</v>
      </c>
      <c r="E26" s="18"/>
    </row>
    <row r="27" spans="1:5" ht="15.75" customHeight="1" x14ac:dyDescent="0.3">
      <c r="C27" s="60">
        <v>908.49</v>
      </c>
      <c r="D27" s="53">
        <f t="shared" si="0"/>
        <v>-4.4627080336965604E-3</v>
      </c>
      <c r="E27" s="18"/>
    </row>
    <row r="28" spans="1:5" ht="15.75" customHeight="1" x14ac:dyDescent="0.3">
      <c r="C28" s="60">
        <v>987.42</v>
      </c>
      <c r="D28" s="53">
        <f t="shared" si="0"/>
        <v>8.2029997945345892E-2</v>
      </c>
      <c r="E28" s="18"/>
    </row>
    <row r="29" spans="1:5" ht="15.75" customHeight="1" x14ac:dyDescent="0.3">
      <c r="C29" s="60">
        <v>896.79</v>
      </c>
      <c r="D29" s="53">
        <f t="shared" si="0"/>
        <v>-1.7283747688514772E-2</v>
      </c>
      <c r="E29" s="18"/>
    </row>
    <row r="30" spans="1:5" ht="15.75" customHeight="1" x14ac:dyDescent="0.3">
      <c r="C30" s="60">
        <v>892.27</v>
      </c>
      <c r="D30" s="53">
        <f t="shared" si="0"/>
        <v>-2.2236833093623988E-2</v>
      </c>
      <c r="E30" s="18"/>
    </row>
    <row r="31" spans="1:5" ht="15.75" customHeight="1" x14ac:dyDescent="0.3">
      <c r="C31" s="60">
        <v>914.95</v>
      </c>
      <c r="D31" s="53">
        <f t="shared" si="0"/>
        <v>2.616259160331284E-3</v>
      </c>
      <c r="E31" s="18"/>
    </row>
    <row r="32" spans="1:5" ht="15.75" customHeight="1" x14ac:dyDescent="0.3">
      <c r="C32" s="60">
        <v>915.9</v>
      </c>
      <c r="D32" s="53">
        <f t="shared" si="0"/>
        <v>3.6572837476882393E-3</v>
      </c>
      <c r="E32" s="18"/>
    </row>
    <row r="33" spans="1:7" ht="15.75" customHeight="1" x14ac:dyDescent="0.3">
      <c r="C33" s="60">
        <v>894.51</v>
      </c>
      <c r="D33" s="53">
        <f t="shared" si="0"/>
        <v>-1.9782206698171611E-2</v>
      </c>
      <c r="E33" s="18"/>
    </row>
    <row r="34" spans="1:7" ht="15.75" customHeight="1" x14ac:dyDescent="0.3">
      <c r="C34" s="60">
        <v>916.99</v>
      </c>
      <c r="D34" s="53">
        <f t="shared" si="0"/>
        <v>4.8517224847610769E-3</v>
      </c>
      <c r="E34" s="18"/>
    </row>
    <row r="35" spans="1:7" ht="15.75" customHeight="1" x14ac:dyDescent="0.3">
      <c r="C35" s="60">
        <v>916.34</v>
      </c>
      <c r="D35" s="53">
        <f t="shared" si="0"/>
        <v>4.1394425039378707E-3</v>
      </c>
      <c r="E35" s="18"/>
    </row>
    <row r="36" spans="1:7" ht="15.75" customHeight="1" x14ac:dyDescent="0.3">
      <c r="C36" s="60">
        <v>913.44</v>
      </c>
      <c r="D36" s="53">
        <f t="shared" si="0"/>
        <v>9.6157797411117261E-4</v>
      </c>
      <c r="E36" s="18"/>
    </row>
    <row r="37" spans="1:7" ht="15.75" customHeight="1" x14ac:dyDescent="0.3">
      <c r="C37" s="60">
        <v>914.31</v>
      </c>
      <c r="D37" s="53">
        <f t="shared" si="0"/>
        <v>1.9149373330590701E-3</v>
      </c>
      <c r="E37" s="18"/>
    </row>
    <row r="38" spans="1:7" ht="15.75" customHeight="1" x14ac:dyDescent="0.3">
      <c r="C38" s="60">
        <v>905.12</v>
      </c>
      <c r="D38" s="53">
        <f t="shared" si="0"/>
        <v>-8.1556057804262408E-3</v>
      </c>
      <c r="E38" s="18"/>
    </row>
    <row r="39" spans="1:7" ht="15.75" customHeight="1" x14ac:dyDescent="0.3">
      <c r="C39" s="60">
        <v>893.67</v>
      </c>
      <c r="D39" s="53">
        <f t="shared" si="0"/>
        <v>-2.0702691596466285E-2</v>
      </c>
      <c r="E39" s="18"/>
    </row>
    <row r="40" spans="1:7" ht="15.75" customHeight="1" x14ac:dyDescent="0.3">
      <c r="C40" s="60">
        <v>927.78</v>
      </c>
      <c r="D40" s="53">
        <f t="shared" si="0"/>
        <v>1.6675570166426675E-2</v>
      </c>
      <c r="E40" s="18"/>
    </row>
    <row r="41" spans="1:7" ht="15.75" customHeight="1" x14ac:dyDescent="0.3">
      <c r="C41" s="60">
        <v>926.42</v>
      </c>
      <c r="D41" s="53">
        <f t="shared" si="0"/>
        <v>1.5185261283473438E-2</v>
      </c>
      <c r="E41" s="18"/>
    </row>
    <row r="42" spans="1:7" ht="15.75" customHeight="1" x14ac:dyDescent="0.3">
      <c r="C42" s="60">
        <v>921.64</v>
      </c>
      <c r="D42" s="53">
        <f t="shared" si="0"/>
        <v>9.947263886034936E-3</v>
      </c>
      <c r="E42" s="18"/>
    </row>
    <row r="43" spans="1:7" ht="16.5" customHeight="1" x14ac:dyDescent="0.3">
      <c r="C43" s="61">
        <v>887.58</v>
      </c>
      <c r="D43" s="54">
        <f t="shared" si="0"/>
        <v>-2.7376207109102314E-2</v>
      </c>
      <c r="E43" s="18"/>
    </row>
    <row r="44" spans="1:7" ht="16.5" customHeight="1" x14ac:dyDescent="0.3">
      <c r="C44" s="19"/>
      <c r="D44" s="18"/>
      <c r="E44" s="20"/>
    </row>
    <row r="45" spans="1:7" ht="16.5" customHeight="1" x14ac:dyDescent="0.3">
      <c r="B45" s="47" t="s">
        <v>38</v>
      </c>
      <c r="C45" s="48">
        <f>SUM(C24:C44)</f>
        <v>18251.250000000004</v>
      </c>
      <c r="D45" s="43"/>
      <c r="E45" s="19"/>
    </row>
    <row r="46" spans="1:7" ht="17.25" customHeight="1" x14ac:dyDescent="0.3">
      <c r="B46" s="47" t="s">
        <v>39</v>
      </c>
      <c r="C46" s="49">
        <f>AVERAGE(C24:C44)</f>
        <v>912.56250000000023</v>
      </c>
      <c r="E46" s="21"/>
    </row>
    <row r="47" spans="1:7" ht="17.25" customHeight="1" x14ac:dyDescent="0.3">
      <c r="A47" s="25"/>
      <c r="B47" s="44"/>
      <c r="D47" s="23"/>
      <c r="E47" s="21"/>
    </row>
    <row r="48" spans="1:7" ht="33.75" customHeight="1" x14ac:dyDescent="0.3">
      <c r="B48" s="57" t="s">
        <v>39</v>
      </c>
      <c r="C48" s="50" t="s">
        <v>40</v>
      </c>
      <c r="D48" s="45"/>
      <c r="G48" s="23"/>
    </row>
    <row r="49" spans="1:6" ht="17.25" customHeight="1" x14ac:dyDescent="0.3">
      <c r="B49" s="375">
        <f>C46</f>
        <v>912.56250000000023</v>
      </c>
      <c r="C49" s="58">
        <f>-IF(C46&lt;=80,10%,IF(C46&lt;250,7.5%,5%))</f>
        <v>-0.05</v>
      </c>
      <c r="D49" s="46">
        <f>IF(C46&lt;=80,C46*0.9,IF(C46&lt;250,C46*0.925,C46*0.95))</f>
        <v>866.93437500000016</v>
      </c>
    </row>
    <row r="50" spans="1:6" ht="17.25" customHeight="1" x14ac:dyDescent="0.3">
      <c r="B50" s="376"/>
      <c r="C50" s="59">
        <f>IF(C46&lt;=80, 10%, IF(C46&lt;250, 7.5%, 5%))</f>
        <v>0.05</v>
      </c>
      <c r="D50" s="46">
        <f>IF(C46&lt;=80, C46*1.1, IF(C46&lt;250, C46*1.075, C46*1.05))</f>
        <v>958.1906250000003</v>
      </c>
    </row>
    <row r="51" spans="1:6" ht="16.5" customHeight="1" x14ac:dyDescent="0.3">
      <c r="A51" s="28"/>
      <c r="B51" s="29"/>
      <c r="C51" s="25"/>
      <c r="D51" s="30"/>
      <c r="E51" s="25"/>
      <c r="F51" s="31"/>
    </row>
    <row r="52" spans="1:6" ht="16.5" customHeight="1" x14ac:dyDescent="0.3">
      <c r="A52" s="25"/>
      <c r="B52" s="32" t="s">
        <v>22</v>
      </c>
      <c r="C52" s="32"/>
      <c r="D52" s="33" t="s">
        <v>23</v>
      </c>
      <c r="E52" s="34"/>
      <c r="F52" s="33" t="s">
        <v>24</v>
      </c>
    </row>
    <row r="53" spans="1:6" ht="34.5" customHeight="1" x14ac:dyDescent="0.3">
      <c r="A53" s="35" t="s">
        <v>25</v>
      </c>
      <c r="B53" s="36"/>
      <c r="C53" s="37"/>
      <c r="D53" s="36"/>
      <c r="E53" s="26"/>
      <c r="F53" s="38"/>
    </row>
    <row r="54" spans="1:6" ht="34.5" customHeight="1" x14ac:dyDescent="0.3">
      <c r="A54" s="35" t="s">
        <v>26</v>
      </c>
      <c r="B54" s="39"/>
      <c r="C54" s="40"/>
      <c r="D54" s="39"/>
      <c r="E54" s="26"/>
      <c r="F54" s="41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122" zoomScale="60" zoomScaleNormal="75" zoomScalePageLayoutView="55" workbookViewId="0">
      <selection activeCell="F133" sqref="F133"/>
    </sheetView>
  </sheetViews>
  <sheetFormatPr defaultRowHeight="15" x14ac:dyDescent="0.3"/>
  <cols>
    <col min="1" max="1" width="55.42578125" style="209" customWidth="1"/>
    <col min="2" max="2" width="33.7109375" style="209" customWidth="1"/>
    <col min="3" max="3" width="42.28515625" style="209" customWidth="1"/>
    <col min="4" max="4" width="30.5703125" style="209" customWidth="1"/>
    <col min="5" max="5" width="39.85546875" style="209" customWidth="1"/>
    <col min="6" max="6" width="30.7109375" style="209" customWidth="1"/>
    <col min="7" max="7" width="39.85546875" style="209" customWidth="1"/>
    <col min="8" max="8" width="41.140625" style="209" customWidth="1"/>
    <col min="9" max="9" width="30.42578125" style="209" customWidth="1"/>
    <col min="10" max="10" width="21.28515625" style="209" customWidth="1"/>
    <col min="11" max="11" width="9.140625" style="209" customWidth="1"/>
    <col min="12" max="16384" width="9.140625" style="210"/>
  </cols>
  <sheetData>
    <row r="1" spans="1:8" x14ac:dyDescent="0.3">
      <c r="A1" s="411" t="s">
        <v>41</v>
      </c>
      <c r="B1" s="411"/>
      <c r="C1" s="411"/>
      <c r="D1" s="411"/>
      <c r="E1" s="411"/>
      <c r="F1" s="411"/>
      <c r="G1" s="411"/>
      <c r="H1" s="411"/>
    </row>
    <row r="2" spans="1:8" x14ac:dyDescent="0.3">
      <c r="A2" s="411"/>
      <c r="B2" s="411"/>
      <c r="C2" s="411"/>
      <c r="D2" s="411"/>
      <c r="E2" s="411"/>
      <c r="F2" s="411"/>
      <c r="G2" s="411"/>
      <c r="H2" s="411"/>
    </row>
    <row r="3" spans="1:8" x14ac:dyDescent="0.3">
      <c r="A3" s="411"/>
      <c r="B3" s="411"/>
      <c r="C3" s="411"/>
      <c r="D3" s="411"/>
      <c r="E3" s="411"/>
      <c r="F3" s="411"/>
      <c r="G3" s="411"/>
      <c r="H3" s="411"/>
    </row>
    <row r="4" spans="1:8" x14ac:dyDescent="0.3">
      <c r="A4" s="411"/>
      <c r="B4" s="411"/>
      <c r="C4" s="411"/>
      <c r="D4" s="411"/>
      <c r="E4" s="411"/>
      <c r="F4" s="411"/>
      <c r="G4" s="411"/>
      <c r="H4" s="411"/>
    </row>
    <row r="5" spans="1:8" x14ac:dyDescent="0.3">
      <c r="A5" s="411"/>
      <c r="B5" s="411"/>
      <c r="C5" s="411"/>
      <c r="D5" s="411"/>
      <c r="E5" s="411"/>
      <c r="F5" s="411"/>
      <c r="G5" s="411"/>
      <c r="H5" s="411"/>
    </row>
    <row r="6" spans="1:8" x14ac:dyDescent="0.3">
      <c r="A6" s="411"/>
      <c r="B6" s="411"/>
      <c r="C6" s="411"/>
      <c r="D6" s="411"/>
      <c r="E6" s="411"/>
      <c r="F6" s="411"/>
      <c r="G6" s="411"/>
      <c r="H6" s="411"/>
    </row>
    <row r="7" spans="1:8" x14ac:dyDescent="0.3">
      <c r="A7" s="411"/>
      <c r="B7" s="411"/>
      <c r="C7" s="411"/>
      <c r="D7" s="411"/>
      <c r="E7" s="411"/>
      <c r="F7" s="411"/>
      <c r="G7" s="411"/>
      <c r="H7" s="411"/>
    </row>
    <row r="8" spans="1:8" x14ac:dyDescent="0.3">
      <c r="A8" s="412" t="s">
        <v>42</v>
      </c>
      <c r="B8" s="412"/>
      <c r="C8" s="412"/>
      <c r="D8" s="412"/>
      <c r="E8" s="412"/>
      <c r="F8" s="412"/>
      <c r="G8" s="412"/>
      <c r="H8" s="412"/>
    </row>
    <row r="9" spans="1:8" x14ac:dyDescent="0.3">
      <c r="A9" s="412"/>
      <c r="B9" s="412"/>
      <c r="C9" s="412"/>
      <c r="D9" s="412"/>
      <c r="E9" s="412"/>
      <c r="F9" s="412"/>
      <c r="G9" s="412"/>
      <c r="H9" s="412"/>
    </row>
    <row r="10" spans="1:8" x14ac:dyDescent="0.3">
      <c r="A10" s="412"/>
      <c r="B10" s="412"/>
      <c r="C10" s="412"/>
      <c r="D10" s="412"/>
      <c r="E10" s="412"/>
      <c r="F10" s="412"/>
      <c r="G10" s="412"/>
      <c r="H10" s="412"/>
    </row>
    <row r="11" spans="1:8" x14ac:dyDescent="0.3">
      <c r="A11" s="412"/>
      <c r="B11" s="412"/>
      <c r="C11" s="412"/>
      <c r="D11" s="412"/>
      <c r="E11" s="412"/>
      <c r="F11" s="412"/>
      <c r="G11" s="412"/>
      <c r="H11" s="412"/>
    </row>
    <row r="12" spans="1:8" x14ac:dyDescent="0.3">
      <c r="A12" s="412"/>
      <c r="B12" s="412"/>
      <c r="C12" s="412"/>
      <c r="D12" s="412"/>
      <c r="E12" s="412"/>
      <c r="F12" s="412"/>
      <c r="G12" s="412"/>
      <c r="H12" s="412"/>
    </row>
    <row r="13" spans="1:8" x14ac:dyDescent="0.3">
      <c r="A13" s="412"/>
      <c r="B13" s="412"/>
      <c r="C13" s="412"/>
      <c r="D13" s="412"/>
      <c r="E13" s="412"/>
      <c r="F13" s="412"/>
      <c r="G13" s="412"/>
      <c r="H13" s="412"/>
    </row>
    <row r="14" spans="1:8" x14ac:dyDescent="0.3">
      <c r="A14" s="412"/>
      <c r="B14" s="412"/>
      <c r="C14" s="412"/>
      <c r="D14" s="412"/>
      <c r="E14" s="412"/>
      <c r="F14" s="412"/>
      <c r="G14" s="412"/>
      <c r="H14" s="412"/>
    </row>
    <row r="15" spans="1:8" ht="19.5" customHeight="1" x14ac:dyDescent="0.3"/>
    <row r="16" spans="1:8" ht="19.5" customHeight="1" x14ac:dyDescent="0.3">
      <c r="A16" s="413" t="s">
        <v>27</v>
      </c>
      <c r="B16" s="414"/>
      <c r="C16" s="414"/>
      <c r="D16" s="414"/>
      <c r="E16" s="414"/>
      <c r="F16" s="414"/>
      <c r="G16" s="414"/>
      <c r="H16" s="415"/>
    </row>
    <row r="17" spans="1:13" ht="18.75" x14ac:dyDescent="0.3">
      <c r="A17" s="142" t="s">
        <v>43</v>
      </c>
      <c r="B17" s="142"/>
    </row>
    <row r="18" spans="1:13" ht="18.75" x14ac:dyDescent="0.3">
      <c r="A18" s="143" t="s">
        <v>29</v>
      </c>
      <c r="B18" s="417" t="s">
        <v>5</v>
      </c>
      <c r="C18" s="417"/>
      <c r="D18" s="144"/>
      <c r="E18" s="144"/>
    </row>
    <row r="19" spans="1:13" ht="18.75" x14ac:dyDescent="0.3">
      <c r="A19" s="143" t="s">
        <v>30</v>
      </c>
      <c r="B19" s="144" t="s">
        <v>7</v>
      </c>
      <c r="C19" s="143">
        <v>35</v>
      </c>
    </row>
    <row r="20" spans="1:13" ht="18.75" x14ac:dyDescent="0.3">
      <c r="A20" s="143" t="s">
        <v>31</v>
      </c>
      <c r="B20" s="144" t="s">
        <v>9</v>
      </c>
    </row>
    <row r="21" spans="1:13" ht="56.25" x14ac:dyDescent="0.3">
      <c r="A21" s="143" t="s">
        <v>32</v>
      </c>
      <c r="B21" s="211" t="s">
        <v>102</v>
      </c>
      <c r="C21" s="212"/>
      <c r="D21" s="212"/>
      <c r="E21" s="212"/>
      <c r="F21" s="212"/>
      <c r="G21" s="212"/>
      <c r="H21" s="212"/>
    </row>
    <row r="22" spans="1:13" ht="18.75" x14ac:dyDescent="0.3">
      <c r="A22" s="143" t="s">
        <v>33</v>
      </c>
      <c r="B22" s="213" t="s">
        <v>103</v>
      </c>
    </row>
    <row r="23" spans="1:13" ht="18.75" x14ac:dyDescent="0.3">
      <c r="A23" s="143" t="s">
        <v>34</v>
      </c>
      <c r="B23" s="213" t="s">
        <v>104</v>
      </c>
    </row>
    <row r="24" spans="1:13" ht="18.75" x14ac:dyDescent="0.3">
      <c r="A24" s="143"/>
      <c r="B24" s="214"/>
    </row>
    <row r="25" spans="1:13" ht="18.75" x14ac:dyDescent="0.3">
      <c r="A25" s="145" t="s">
        <v>1</v>
      </c>
      <c r="B25" s="214"/>
    </row>
    <row r="26" spans="1:13" ht="26.25" customHeight="1" x14ac:dyDescent="0.4">
      <c r="A26" s="146" t="s">
        <v>4</v>
      </c>
      <c r="B26" s="416" t="s">
        <v>101</v>
      </c>
      <c r="C26" s="416"/>
    </row>
    <row r="27" spans="1:13" ht="26.25" customHeight="1" x14ac:dyDescent="0.4">
      <c r="A27" s="146" t="s">
        <v>44</v>
      </c>
      <c r="B27" s="147" t="s">
        <v>98</v>
      </c>
    </row>
    <row r="28" spans="1:13" ht="27" customHeight="1" x14ac:dyDescent="0.4">
      <c r="A28" s="146" t="s">
        <v>6</v>
      </c>
      <c r="B28" s="147">
        <v>99.8</v>
      </c>
    </row>
    <row r="29" spans="1:13" s="148" customFormat="1" ht="27" customHeight="1" x14ac:dyDescent="0.4">
      <c r="A29" s="146" t="s">
        <v>45</v>
      </c>
      <c r="B29" s="147">
        <v>0</v>
      </c>
      <c r="C29" s="385" t="s">
        <v>46</v>
      </c>
      <c r="D29" s="386"/>
      <c r="E29" s="386"/>
      <c r="F29" s="386"/>
      <c r="G29" s="387"/>
      <c r="I29" s="149"/>
      <c r="J29" s="149"/>
      <c r="K29" s="149"/>
    </row>
    <row r="30" spans="1:13" s="148" customFormat="1" ht="19.5" customHeight="1" x14ac:dyDescent="0.3">
      <c r="A30" s="146" t="s">
        <v>47</v>
      </c>
      <c r="B30" s="150">
        <f>B28-B29</f>
        <v>99.8</v>
      </c>
      <c r="C30" s="215"/>
      <c r="D30" s="215"/>
      <c r="E30" s="215"/>
      <c r="F30" s="215"/>
      <c r="G30" s="216"/>
      <c r="I30" s="149"/>
      <c r="J30" s="149"/>
      <c r="K30" s="149"/>
    </row>
    <row r="31" spans="1:13" s="148" customFormat="1" ht="27" customHeight="1" x14ac:dyDescent="0.4">
      <c r="A31" s="146" t="s">
        <v>48</v>
      </c>
      <c r="B31" s="151">
        <v>1</v>
      </c>
      <c r="C31" s="390" t="s">
        <v>49</v>
      </c>
      <c r="D31" s="391"/>
      <c r="E31" s="391"/>
      <c r="F31" s="391"/>
      <c r="G31" s="391"/>
      <c r="H31" s="392"/>
      <c r="I31" s="149"/>
      <c r="J31" s="149"/>
      <c r="K31" s="149"/>
    </row>
    <row r="32" spans="1:13" s="148" customFormat="1" ht="27" customHeight="1" x14ac:dyDescent="0.4">
      <c r="A32" s="146" t="s">
        <v>50</v>
      </c>
      <c r="B32" s="151">
        <v>1</v>
      </c>
      <c r="C32" s="390" t="s">
        <v>51</v>
      </c>
      <c r="D32" s="391"/>
      <c r="E32" s="391"/>
      <c r="F32" s="391"/>
      <c r="G32" s="391"/>
      <c r="H32" s="392"/>
      <c r="I32" s="149"/>
      <c r="J32" s="149"/>
      <c r="K32" s="152"/>
      <c r="L32" s="152"/>
      <c r="M32" s="217"/>
    </row>
    <row r="33" spans="1:13" s="148" customFormat="1" ht="17.25" customHeight="1" x14ac:dyDescent="0.3">
      <c r="A33" s="146"/>
      <c r="B33" s="153"/>
      <c r="C33" s="154"/>
      <c r="D33" s="154"/>
      <c r="E33" s="154"/>
      <c r="F33" s="154"/>
      <c r="G33" s="154"/>
      <c r="H33" s="154"/>
      <c r="I33" s="149"/>
      <c r="J33" s="149"/>
      <c r="K33" s="152"/>
      <c r="L33" s="152"/>
      <c r="M33" s="217"/>
    </row>
    <row r="34" spans="1:13" s="148" customFormat="1" ht="18.75" x14ac:dyDescent="0.3">
      <c r="A34" s="146" t="s">
        <v>52</v>
      </c>
      <c r="B34" s="155">
        <f>B31/B32</f>
        <v>1</v>
      </c>
      <c r="C34" s="143" t="s">
        <v>53</v>
      </c>
      <c r="D34" s="143"/>
      <c r="E34" s="143"/>
      <c r="F34" s="143"/>
      <c r="G34" s="143"/>
      <c r="I34" s="149"/>
      <c r="J34" s="149"/>
      <c r="K34" s="152"/>
      <c r="L34" s="152"/>
      <c r="M34" s="217"/>
    </row>
    <row r="35" spans="1:13" s="148" customFormat="1" ht="19.5" customHeight="1" x14ac:dyDescent="0.3">
      <c r="A35" s="146"/>
      <c r="B35" s="150"/>
      <c r="G35" s="143"/>
      <c r="I35" s="149"/>
      <c r="J35" s="149"/>
      <c r="K35" s="152"/>
      <c r="L35" s="152"/>
      <c r="M35" s="217"/>
    </row>
    <row r="36" spans="1:13" s="148" customFormat="1" ht="27" customHeight="1" x14ac:dyDescent="0.4">
      <c r="A36" s="218" t="s">
        <v>54</v>
      </c>
      <c r="B36" s="156">
        <v>100</v>
      </c>
      <c r="C36" s="143"/>
      <c r="D36" s="388" t="s">
        <v>55</v>
      </c>
      <c r="E36" s="400"/>
      <c r="F36" s="388" t="s">
        <v>56</v>
      </c>
      <c r="G36" s="389"/>
      <c r="I36" s="149"/>
      <c r="J36" s="149"/>
      <c r="K36" s="152"/>
      <c r="L36" s="152"/>
      <c r="M36" s="217"/>
    </row>
    <row r="37" spans="1:13" s="148" customFormat="1" ht="26.25" customHeight="1" x14ac:dyDescent="0.4">
      <c r="A37" s="219" t="s">
        <v>112</v>
      </c>
      <c r="B37" s="157">
        <v>1</v>
      </c>
      <c r="C37" s="158" t="s">
        <v>57</v>
      </c>
      <c r="D37" s="159" t="s">
        <v>58</v>
      </c>
      <c r="E37" s="160" t="s">
        <v>59</v>
      </c>
      <c r="F37" s="159" t="s">
        <v>58</v>
      </c>
      <c r="G37" s="161" t="s">
        <v>59</v>
      </c>
      <c r="I37" s="149"/>
      <c r="J37" s="149"/>
      <c r="K37" s="152"/>
      <c r="L37" s="152"/>
      <c r="M37" s="217"/>
    </row>
    <row r="38" spans="1:13" s="148" customFormat="1" ht="26.25" customHeight="1" x14ac:dyDescent="0.4">
      <c r="A38" s="219" t="s">
        <v>113</v>
      </c>
      <c r="B38" s="157">
        <v>1</v>
      </c>
      <c r="C38" s="220">
        <v>1</v>
      </c>
      <c r="D38" s="162">
        <v>2006550</v>
      </c>
      <c r="E38" s="221">
        <f>IF(ISBLANK(D38),"-",$D$48/$D$45*D38)</f>
        <v>1703152.1747433878</v>
      </c>
      <c r="F38" s="163">
        <v>1764711</v>
      </c>
      <c r="G38" s="222">
        <f>IF(ISBLANK(F38),"-",$D$48/$F$45*F38)</f>
        <v>1719248.9013028489</v>
      </c>
      <c r="I38" s="149"/>
      <c r="J38" s="149"/>
      <c r="K38" s="152"/>
      <c r="L38" s="152"/>
      <c r="M38" s="217"/>
    </row>
    <row r="39" spans="1:13" s="148" customFormat="1" ht="26.25" customHeight="1" x14ac:dyDescent="0.4">
      <c r="A39" s="219" t="s">
        <v>114</v>
      </c>
      <c r="B39" s="157">
        <v>1</v>
      </c>
      <c r="C39" s="179">
        <v>2</v>
      </c>
      <c r="D39" s="162">
        <v>2015054</v>
      </c>
      <c r="E39" s="223">
        <f>IF(ISBLANK(D39),"-",$D$48/$D$45*D39)</f>
        <v>1710370.3383047334</v>
      </c>
      <c r="F39" s="163">
        <v>1758756</v>
      </c>
      <c r="G39" s="224">
        <f>IF(ISBLANK(F39),"-",$D$48/$F$45*F39)</f>
        <v>1713447.3127100093</v>
      </c>
      <c r="I39" s="149"/>
      <c r="J39" s="149"/>
      <c r="K39" s="152"/>
      <c r="L39" s="152"/>
      <c r="M39" s="217"/>
    </row>
    <row r="40" spans="1:13" ht="26.25" customHeight="1" x14ac:dyDescent="0.4">
      <c r="A40" s="219" t="s">
        <v>115</v>
      </c>
      <c r="B40" s="157">
        <v>1</v>
      </c>
      <c r="C40" s="179">
        <v>3</v>
      </c>
      <c r="D40" s="162">
        <v>2014101</v>
      </c>
      <c r="E40" s="223">
        <f>IF(ISBLANK(D40),"-",$D$48/$D$45*D40)</f>
        <v>1709561.4354503164</v>
      </c>
      <c r="F40" s="163">
        <v>1763067</v>
      </c>
      <c r="G40" s="224">
        <f>IF(ISBLANK(F40),"-",$D$48/$F$45*F40)</f>
        <v>1717647.2536711732</v>
      </c>
      <c r="K40" s="152"/>
      <c r="L40" s="152"/>
      <c r="M40" s="143"/>
    </row>
    <row r="41" spans="1:13" ht="26.25" customHeight="1" x14ac:dyDescent="0.4">
      <c r="A41" s="219" t="s">
        <v>116</v>
      </c>
      <c r="B41" s="157">
        <v>1</v>
      </c>
      <c r="C41" s="225">
        <v>4</v>
      </c>
      <c r="D41" s="164"/>
      <c r="E41" s="226" t="str">
        <f>IF(ISBLANK(D41),"-",$D$48/$D$45*D41)</f>
        <v>-</v>
      </c>
      <c r="F41" s="164"/>
      <c r="G41" s="227" t="str">
        <f>IF(ISBLANK(F41),"-",$D$48/$F$45*F41)</f>
        <v>-</v>
      </c>
      <c r="K41" s="152"/>
      <c r="L41" s="152"/>
      <c r="M41" s="143"/>
    </row>
    <row r="42" spans="1:13" ht="27" customHeight="1" thickBot="1" x14ac:dyDescent="0.45">
      <c r="A42" s="219" t="s">
        <v>117</v>
      </c>
      <c r="B42" s="157">
        <v>1</v>
      </c>
      <c r="C42" s="228" t="s">
        <v>60</v>
      </c>
      <c r="D42" s="165">
        <f>AVERAGE(D38:D41)</f>
        <v>2011901.6666666667</v>
      </c>
      <c r="E42" s="166">
        <f>AVERAGE(E38:E41)</f>
        <v>1707694.649499479</v>
      </c>
      <c r="F42" s="165">
        <f>AVERAGE(F38:F41)</f>
        <v>1762178</v>
      </c>
      <c r="G42" s="167">
        <f>AVERAGE(G38:G41)</f>
        <v>1716781.1558946772</v>
      </c>
      <c r="H42" s="229"/>
    </row>
    <row r="43" spans="1:13" ht="26.25" customHeight="1" x14ac:dyDescent="0.4">
      <c r="A43" s="219" t="s">
        <v>118</v>
      </c>
      <c r="B43" s="147">
        <v>1</v>
      </c>
      <c r="C43" s="230" t="s">
        <v>61</v>
      </c>
      <c r="D43" s="168">
        <v>23.61</v>
      </c>
      <c r="E43" s="143"/>
      <c r="F43" s="168">
        <v>20.57</v>
      </c>
      <c r="H43" s="229"/>
    </row>
    <row r="44" spans="1:13" ht="26.25" customHeight="1" x14ac:dyDescent="0.4">
      <c r="A44" s="219" t="s">
        <v>119</v>
      </c>
      <c r="B44" s="147">
        <v>1</v>
      </c>
      <c r="C44" s="231" t="s">
        <v>62</v>
      </c>
      <c r="D44" s="232">
        <f>D43*$B$34</f>
        <v>23.61</v>
      </c>
      <c r="E44" s="150"/>
      <c r="F44" s="233">
        <f>F43*$B$34</f>
        <v>20.57</v>
      </c>
      <c r="H44" s="229"/>
    </row>
    <row r="45" spans="1:13" ht="19.5" customHeight="1" x14ac:dyDescent="0.3">
      <c r="A45" s="219" t="s">
        <v>63</v>
      </c>
      <c r="B45" s="150">
        <f>(B44/B43)*(B42/B41)*(B40/B39)*(B38/B37)*B36</f>
        <v>100</v>
      </c>
      <c r="C45" s="231" t="s">
        <v>64</v>
      </c>
      <c r="D45" s="234">
        <f>D44*$B$30/100</f>
        <v>23.562779999999997</v>
      </c>
      <c r="E45" s="153"/>
      <c r="F45" s="235">
        <f>F44*$B$30/100</f>
        <v>20.528859999999998</v>
      </c>
      <c r="H45" s="229"/>
    </row>
    <row r="46" spans="1:13" ht="19.5" customHeight="1" x14ac:dyDescent="0.3">
      <c r="A46" s="401" t="s">
        <v>65</v>
      </c>
      <c r="B46" s="405"/>
      <c r="C46" s="231" t="s">
        <v>66</v>
      </c>
      <c r="D46" s="232">
        <f>D45/$B$45</f>
        <v>0.23562779999999997</v>
      </c>
      <c r="E46" s="153"/>
      <c r="F46" s="236">
        <f>F45/$B$45</f>
        <v>0.20528859999999999</v>
      </c>
      <c r="H46" s="229"/>
    </row>
    <row r="47" spans="1:13" ht="27" customHeight="1" x14ac:dyDescent="0.4">
      <c r="A47" s="403"/>
      <c r="B47" s="406"/>
      <c r="C47" s="231" t="s">
        <v>67</v>
      </c>
      <c r="D47" s="169">
        <v>0.2</v>
      </c>
      <c r="F47" s="237"/>
      <c r="H47" s="229"/>
    </row>
    <row r="48" spans="1:13" ht="18.75" x14ac:dyDescent="0.3">
      <c r="C48" s="231" t="s">
        <v>68</v>
      </c>
      <c r="D48" s="232">
        <f>D47*$B$45</f>
        <v>20</v>
      </c>
      <c r="F48" s="237"/>
      <c r="H48" s="229"/>
    </row>
    <row r="49" spans="1:11" ht="19.5" customHeight="1" x14ac:dyDescent="0.3">
      <c r="C49" s="238" t="s">
        <v>69</v>
      </c>
      <c r="D49" s="239">
        <f>D48/B34</f>
        <v>20</v>
      </c>
      <c r="F49" s="201"/>
      <c r="H49" s="229"/>
    </row>
    <row r="50" spans="1:11" ht="18.75" x14ac:dyDescent="0.3">
      <c r="C50" s="240" t="s">
        <v>70</v>
      </c>
      <c r="D50" s="170">
        <f>AVERAGE(E38:E41,G38:G41)</f>
        <v>1712237.902697078</v>
      </c>
      <c r="F50" s="201"/>
      <c r="H50" s="229"/>
    </row>
    <row r="51" spans="1:11" ht="18.75" x14ac:dyDescent="0.3">
      <c r="C51" s="241" t="s">
        <v>71</v>
      </c>
      <c r="D51" s="194">
        <f>STDEV(E38:E41,G38:G41)/D50</f>
        <v>3.4361633811425514E-3</v>
      </c>
      <c r="F51" s="201"/>
    </row>
    <row r="52" spans="1:11" ht="19.5" customHeight="1" x14ac:dyDescent="0.3">
      <c r="C52" s="242" t="s">
        <v>19</v>
      </c>
      <c r="D52" s="195">
        <f>COUNT(E38:E41,G38:G41)</f>
        <v>6</v>
      </c>
      <c r="F52" s="201"/>
    </row>
    <row r="54" spans="1:11" ht="18.75" x14ac:dyDescent="0.3">
      <c r="A54" s="142" t="s">
        <v>1</v>
      </c>
      <c r="B54" s="171" t="s">
        <v>72</v>
      </c>
    </row>
    <row r="55" spans="1:11" ht="18.75" x14ac:dyDescent="0.3">
      <c r="A55" s="143" t="s">
        <v>73</v>
      </c>
      <c r="B55" s="171" t="str">
        <f>B21</f>
        <v>Each tablet contains:   Artemether 80 mg
Lumefantrine 480mg</v>
      </c>
    </row>
    <row r="56" spans="1:11" ht="26.25" customHeight="1" x14ac:dyDescent="0.4">
      <c r="A56" s="171" t="s">
        <v>74</v>
      </c>
      <c r="B56" s="147">
        <v>40</v>
      </c>
      <c r="C56" s="143" t="str">
        <f>B20</f>
        <v xml:space="preserve">Artemether  Lumefantrine </v>
      </c>
      <c r="H56" s="150"/>
    </row>
    <row r="57" spans="1:11" ht="18.75" x14ac:dyDescent="0.3">
      <c r="A57" s="171" t="s">
        <v>75</v>
      </c>
      <c r="B57" s="172">
        <f>Uniformity!C46</f>
        <v>912.56250000000023</v>
      </c>
      <c r="H57" s="150"/>
    </row>
    <row r="58" spans="1:11" ht="19.5" customHeight="1" x14ac:dyDescent="0.3">
      <c r="H58" s="150"/>
    </row>
    <row r="59" spans="1:11" s="148" customFormat="1" ht="27" customHeight="1" x14ac:dyDescent="0.4">
      <c r="A59" s="218" t="s">
        <v>76</v>
      </c>
      <c r="B59" s="156">
        <v>50</v>
      </c>
      <c r="C59" s="143"/>
      <c r="D59" s="173" t="s">
        <v>77</v>
      </c>
      <c r="E59" s="174" t="s">
        <v>78</v>
      </c>
      <c r="F59" s="174" t="s">
        <v>58</v>
      </c>
      <c r="G59" s="174" t="s">
        <v>79</v>
      </c>
      <c r="H59" s="158" t="s">
        <v>80</v>
      </c>
      <c r="K59" s="149"/>
    </row>
    <row r="60" spans="1:11" s="148" customFormat="1" ht="22.5" customHeight="1" x14ac:dyDescent="0.4">
      <c r="A60" s="219" t="s">
        <v>120</v>
      </c>
      <c r="B60" s="157">
        <v>1</v>
      </c>
      <c r="C60" s="393" t="s">
        <v>81</v>
      </c>
      <c r="D60" s="397">
        <v>231.91</v>
      </c>
      <c r="E60" s="174">
        <v>1</v>
      </c>
      <c r="F60" s="175">
        <v>1882361</v>
      </c>
      <c r="G60" s="243">
        <f>IF(ISBLANK(F60),"-",(F60/$D$50*$D$47*$B$68)*($B$57/$D$60))</f>
        <v>43.259545488045262</v>
      </c>
      <c r="H60" s="244">
        <f t="shared" ref="H60:H71" si="0">IF(ISBLANK(F60),"-",G60/$B$56)</f>
        <v>1.0814886372011316</v>
      </c>
      <c r="K60" s="149"/>
    </row>
    <row r="61" spans="1:11" s="148" customFormat="1" ht="26.25" customHeight="1" x14ac:dyDescent="0.4">
      <c r="A61" s="219" t="s">
        <v>121</v>
      </c>
      <c r="B61" s="157">
        <v>1</v>
      </c>
      <c r="C61" s="394"/>
      <c r="D61" s="398"/>
      <c r="E61" s="245">
        <v>2</v>
      </c>
      <c r="F61" s="176">
        <v>1804929</v>
      </c>
      <c r="G61" s="246">
        <f>IF(ISBLANK(F61),"-",(F61/$D$50*$D$47*$B$68)*($B$57/$D$60))</f>
        <v>41.480039258246443</v>
      </c>
      <c r="H61" s="247">
        <f t="shared" si="0"/>
        <v>1.0370009814561612</v>
      </c>
      <c r="K61" s="149"/>
    </row>
    <row r="62" spans="1:11" s="148" customFormat="1" ht="26.25" customHeight="1" x14ac:dyDescent="0.4">
      <c r="A62" s="219" t="s">
        <v>122</v>
      </c>
      <c r="B62" s="157">
        <v>1</v>
      </c>
      <c r="C62" s="394"/>
      <c r="D62" s="398"/>
      <c r="E62" s="245">
        <v>3</v>
      </c>
      <c r="F62" s="177">
        <v>1766834</v>
      </c>
      <c r="G62" s="246">
        <f>IF(ISBLANK(F62),"-",(F62/$D$50*$D$47*$B$68)*($B$57/$D$60))</f>
        <v>40.604557676675704</v>
      </c>
      <c r="H62" s="247">
        <f t="shared" si="0"/>
        <v>1.0151139419168926</v>
      </c>
      <c r="K62" s="149"/>
    </row>
    <row r="63" spans="1:11" ht="21" customHeight="1" x14ac:dyDescent="0.4">
      <c r="A63" s="219" t="s">
        <v>123</v>
      </c>
      <c r="B63" s="157">
        <v>1</v>
      </c>
      <c r="C63" s="395"/>
      <c r="D63" s="399"/>
      <c r="E63" s="248">
        <v>4</v>
      </c>
      <c r="F63" s="178"/>
      <c r="G63" s="246" t="str">
        <f>IF(ISBLANK(F63),"-",(F63/$D$50*$D$47*$B$68)*($B$57/$D$60))</f>
        <v>-</v>
      </c>
      <c r="H63" s="247" t="str">
        <f t="shared" si="0"/>
        <v>-</v>
      </c>
    </row>
    <row r="64" spans="1:11" ht="26.25" customHeight="1" x14ac:dyDescent="0.4">
      <c r="A64" s="219" t="s">
        <v>124</v>
      </c>
      <c r="B64" s="157">
        <v>1</v>
      </c>
      <c r="C64" s="393" t="s">
        <v>82</v>
      </c>
      <c r="D64" s="397">
        <v>220.5</v>
      </c>
      <c r="E64" s="174">
        <v>1</v>
      </c>
      <c r="F64" s="175">
        <v>1771802</v>
      </c>
      <c r="G64" s="173">
        <f>IF(ISBLANK(F64),"-",(F64/$D$50*$D$47*$B$68)*($B$57/$D$64))</f>
        <v>42.825762635609365</v>
      </c>
      <c r="H64" s="249">
        <f t="shared" si="0"/>
        <v>1.0706440658902341</v>
      </c>
    </row>
    <row r="65" spans="1:8" ht="26.25" customHeight="1" x14ac:dyDescent="0.4">
      <c r="A65" s="219" t="s">
        <v>125</v>
      </c>
      <c r="B65" s="157">
        <v>1</v>
      </c>
      <c r="C65" s="394"/>
      <c r="D65" s="398"/>
      <c r="E65" s="245">
        <v>2</v>
      </c>
      <c r="F65" s="176">
        <v>1754239</v>
      </c>
      <c r="G65" s="250">
        <f>IF(ISBLANK(F65),"-",(F65/$D$50*$D$47*$B$68)*($B$57/$D$64))</f>
        <v>42.401251957119783</v>
      </c>
      <c r="H65" s="251">
        <f t="shared" si="0"/>
        <v>1.0600312989279945</v>
      </c>
    </row>
    <row r="66" spans="1:8" ht="26.25" customHeight="1" x14ac:dyDescent="0.4">
      <c r="A66" s="219" t="s">
        <v>126</v>
      </c>
      <c r="B66" s="157">
        <v>1</v>
      </c>
      <c r="C66" s="394"/>
      <c r="D66" s="398"/>
      <c r="E66" s="245">
        <v>3</v>
      </c>
      <c r="F66" s="176">
        <v>1751711</v>
      </c>
      <c r="G66" s="250">
        <f>IF(ISBLANK(F66),"-",(F66/$D$50*$D$47*$B$68)*($B$57/$D$64))</f>
        <v>42.340148330448834</v>
      </c>
      <c r="H66" s="251">
        <f t="shared" si="0"/>
        <v>1.0585037082612208</v>
      </c>
    </row>
    <row r="67" spans="1:8" ht="21" customHeight="1" x14ac:dyDescent="0.4">
      <c r="A67" s="219" t="s">
        <v>127</v>
      </c>
      <c r="B67" s="157">
        <v>1</v>
      </c>
      <c r="C67" s="395"/>
      <c r="D67" s="399"/>
      <c r="E67" s="248">
        <v>4</v>
      </c>
      <c r="F67" s="178"/>
      <c r="G67" s="252" t="str">
        <f>IF(ISBLANK(F67),"-",(F67/$D$50*$D$47*$B$68)*($B$57/$D$64))</f>
        <v>-</v>
      </c>
      <c r="H67" s="253" t="str">
        <f t="shared" si="0"/>
        <v>-</v>
      </c>
    </row>
    <row r="68" spans="1:8" ht="21.75" customHeight="1" x14ac:dyDescent="0.4">
      <c r="A68" s="219" t="s">
        <v>83</v>
      </c>
      <c r="B68" s="179">
        <f>(B67/B66)*(B65/B64)*(B63/B62)*(B61/B60)*B59</f>
        <v>50</v>
      </c>
      <c r="C68" s="393" t="s">
        <v>84</v>
      </c>
      <c r="D68" s="397">
        <v>226.34</v>
      </c>
      <c r="E68" s="174">
        <v>1</v>
      </c>
      <c r="F68" s="175">
        <v>1833786</v>
      </c>
      <c r="G68" s="173">
        <f>IF(ISBLANK(F68),"-",(F68/$D$50*$D$47*$B$68)*($B$57/$D$68))</f>
        <v>43.180319658169765</v>
      </c>
      <c r="H68" s="247">
        <f t="shared" si="0"/>
        <v>1.079507991454244</v>
      </c>
    </row>
    <row r="69" spans="1:8" ht="21.75" customHeight="1" x14ac:dyDescent="0.4">
      <c r="A69" s="254" t="s">
        <v>85</v>
      </c>
      <c r="B69" s="255">
        <f>D47*B68/B56*B57</f>
        <v>228.14062500000006</v>
      </c>
      <c r="C69" s="394"/>
      <c r="D69" s="398"/>
      <c r="E69" s="245">
        <v>2</v>
      </c>
      <c r="F69" s="176">
        <v>1796594</v>
      </c>
      <c r="G69" s="250">
        <f>IF(ISBLANK(F69),"-",(F69/$D$50*$D$47*$B$68)*($B$57/$D$68))</f>
        <v>42.304556374598697</v>
      </c>
      <c r="H69" s="247">
        <f t="shared" si="0"/>
        <v>1.0576139093649675</v>
      </c>
    </row>
    <row r="70" spans="1:8" ht="22.5" customHeight="1" x14ac:dyDescent="0.4">
      <c r="A70" s="407" t="s">
        <v>65</v>
      </c>
      <c r="B70" s="408"/>
      <c r="C70" s="394"/>
      <c r="D70" s="398"/>
      <c r="E70" s="245">
        <v>3</v>
      </c>
      <c r="F70" s="176">
        <v>1793493</v>
      </c>
      <c r="G70" s="250">
        <f>IF(ISBLANK(F70),"-",(F70/$D$50*$D$47*$B$68)*($B$57/$D$68))</f>
        <v>42.231536855821709</v>
      </c>
      <c r="H70" s="247">
        <f t="shared" si="0"/>
        <v>1.0557884213955426</v>
      </c>
    </row>
    <row r="71" spans="1:8" ht="21.75" customHeight="1" x14ac:dyDescent="0.4">
      <c r="A71" s="409"/>
      <c r="B71" s="410"/>
      <c r="C71" s="396"/>
      <c r="D71" s="399"/>
      <c r="E71" s="248">
        <v>4</v>
      </c>
      <c r="F71" s="178"/>
      <c r="G71" s="252" t="str">
        <f>IF(ISBLANK(F71),"-",(F71/$D$50*$D$47*$B$68)*($B$57/$D$68))</f>
        <v>-</v>
      </c>
      <c r="H71" s="256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0"/>
      <c r="G72" s="257" t="s">
        <v>60</v>
      </c>
      <c r="H72" s="180">
        <f>AVERAGE(H60:H71)</f>
        <v>1.0572992173187099</v>
      </c>
    </row>
    <row r="73" spans="1:8" ht="26.25" customHeight="1" x14ac:dyDescent="0.4">
      <c r="C73" s="150"/>
      <c r="D73" s="150"/>
      <c r="E73" s="150"/>
      <c r="F73" s="150"/>
      <c r="G73" s="241" t="s">
        <v>71</v>
      </c>
      <c r="H73" s="181">
        <f>STDEV(H60:H71)/H72</f>
        <v>1.9667749514709384E-2</v>
      </c>
    </row>
    <row r="74" spans="1:8" ht="27" customHeight="1" x14ac:dyDescent="0.4">
      <c r="A74" s="150"/>
      <c r="B74" s="150"/>
      <c r="C74" s="150"/>
      <c r="D74" s="150"/>
      <c r="E74" s="153"/>
      <c r="F74" s="150"/>
      <c r="G74" s="242" t="s">
        <v>19</v>
      </c>
      <c r="H74" s="182">
        <f>COUNT(H60:H71)</f>
        <v>9</v>
      </c>
    </row>
    <row r="75" spans="1:8" ht="18.75" x14ac:dyDescent="0.3">
      <c r="A75" s="150"/>
      <c r="B75" s="150"/>
      <c r="C75" s="150"/>
      <c r="D75" s="150"/>
      <c r="E75" s="153"/>
      <c r="F75" s="150"/>
      <c r="G75" s="146"/>
      <c r="H75" s="150"/>
    </row>
    <row r="76" spans="1:8" ht="18.75" x14ac:dyDescent="0.3">
      <c r="A76" s="146" t="s">
        <v>86</v>
      </c>
      <c r="B76" s="146" t="s">
        <v>87</v>
      </c>
      <c r="C76" s="383" t="str">
        <f>B20</f>
        <v xml:space="preserve">Artemether  Lumefantrine </v>
      </c>
      <c r="D76" s="383"/>
      <c r="E76" s="143" t="s">
        <v>99</v>
      </c>
      <c r="F76" s="143"/>
      <c r="G76" s="183">
        <f>H72</f>
        <v>1.0572992173187099</v>
      </c>
      <c r="H76" s="150"/>
    </row>
    <row r="77" spans="1:8" ht="18.75" x14ac:dyDescent="0.3">
      <c r="A77" s="150"/>
      <c r="B77" s="150"/>
      <c r="C77" s="150"/>
      <c r="D77" s="150"/>
      <c r="E77" s="153"/>
      <c r="F77" s="150"/>
      <c r="G77" s="146"/>
      <c r="H77" s="150"/>
    </row>
    <row r="78" spans="1:8" ht="26.25" customHeight="1" x14ac:dyDescent="0.4">
      <c r="A78" s="145" t="s">
        <v>89</v>
      </c>
      <c r="B78" s="145" t="s">
        <v>90</v>
      </c>
      <c r="D78" s="184" t="s">
        <v>91</v>
      </c>
    </row>
    <row r="79" spans="1:8" ht="18.75" x14ac:dyDescent="0.3">
      <c r="A79" s="145"/>
      <c r="B79" s="145"/>
    </row>
    <row r="80" spans="1:8" ht="26.25" customHeight="1" x14ac:dyDescent="0.4">
      <c r="A80" s="146" t="s">
        <v>4</v>
      </c>
      <c r="B80" s="416" t="str">
        <f>B26</f>
        <v>ARTEMETHER</v>
      </c>
      <c r="C80" s="416"/>
    </row>
    <row r="81" spans="1:11" ht="26.25" customHeight="1" x14ac:dyDescent="0.4">
      <c r="A81" s="146" t="s">
        <v>44</v>
      </c>
      <c r="B81" s="147" t="str">
        <f>B27</f>
        <v>F0J018</v>
      </c>
    </row>
    <row r="82" spans="1:11" ht="27" customHeight="1" x14ac:dyDescent="0.4">
      <c r="A82" s="146" t="s">
        <v>6</v>
      </c>
      <c r="B82" s="147">
        <f>B28</f>
        <v>99.8</v>
      </c>
    </row>
    <row r="83" spans="1:11" s="148" customFormat="1" ht="27" customHeight="1" x14ac:dyDescent="0.4">
      <c r="A83" s="146" t="s">
        <v>45</v>
      </c>
      <c r="B83" s="147">
        <f>B29</f>
        <v>0</v>
      </c>
      <c r="C83" s="385" t="s">
        <v>46</v>
      </c>
      <c r="D83" s="386"/>
      <c r="E83" s="386"/>
      <c r="F83" s="386"/>
      <c r="G83" s="387"/>
      <c r="I83" s="149"/>
      <c r="J83" s="149"/>
      <c r="K83" s="149"/>
    </row>
    <row r="84" spans="1:11" s="148" customFormat="1" ht="19.5" customHeight="1" x14ac:dyDescent="0.3">
      <c r="A84" s="146" t="s">
        <v>47</v>
      </c>
      <c r="B84" s="150">
        <f>B82-B83</f>
        <v>99.8</v>
      </c>
      <c r="C84" s="215"/>
      <c r="D84" s="215"/>
      <c r="E84" s="215"/>
      <c r="F84" s="215"/>
      <c r="G84" s="216"/>
      <c r="I84" s="149"/>
      <c r="J84" s="149"/>
      <c r="K84" s="149"/>
    </row>
    <row r="85" spans="1:11" s="148" customFormat="1" ht="27" customHeight="1" x14ac:dyDescent="0.4">
      <c r="A85" s="146" t="s">
        <v>48</v>
      </c>
      <c r="B85" s="151">
        <v>1</v>
      </c>
      <c r="C85" s="390" t="s">
        <v>49</v>
      </c>
      <c r="D85" s="391"/>
      <c r="E85" s="391"/>
      <c r="F85" s="391"/>
      <c r="G85" s="391"/>
      <c r="H85" s="392"/>
      <c r="I85" s="149"/>
      <c r="J85" s="149"/>
      <c r="K85" s="149"/>
    </row>
    <row r="86" spans="1:11" s="148" customFormat="1" ht="27" customHeight="1" x14ac:dyDescent="0.4">
      <c r="A86" s="146" t="s">
        <v>50</v>
      </c>
      <c r="B86" s="151">
        <v>1</v>
      </c>
      <c r="C86" s="390" t="s">
        <v>51</v>
      </c>
      <c r="D86" s="391"/>
      <c r="E86" s="391"/>
      <c r="F86" s="391"/>
      <c r="G86" s="391"/>
      <c r="H86" s="392"/>
      <c r="I86" s="149"/>
      <c r="J86" s="149"/>
      <c r="K86" s="149"/>
    </row>
    <row r="87" spans="1:11" s="148" customFormat="1" ht="18.75" x14ac:dyDescent="0.3">
      <c r="A87" s="146"/>
      <c r="B87" s="150"/>
      <c r="C87" s="215"/>
      <c r="D87" s="215"/>
      <c r="E87" s="215"/>
      <c r="F87" s="215"/>
      <c r="G87" s="216"/>
      <c r="I87" s="149"/>
      <c r="J87" s="149"/>
      <c r="K87" s="149"/>
    </row>
    <row r="88" spans="1:11" s="148" customFormat="1" ht="18.75" x14ac:dyDescent="0.3">
      <c r="A88" s="146" t="s">
        <v>52</v>
      </c>
      <c r="B88" s="155">
        <f>B85/B86</f>
        <v>1</v>
      </c>
      <c r="C88" s="143" t="s">
        <v>53</v>
      </c>
      <c r="D88" s="215"/>
      <c r="E88" s="215"/>
      <c r="F88" s="215"/>
      <c r="G88" s="216"/>
      <c r="I88" s="149"/>
      <c r="J88" s="149"/>
      <c r="K88" s="149"/>
    </row>
    <row r="89" spans="1:11" ht="19.5" customHeight="1" x14ac:dyDescent="0.3">
      <c r="A89" s="145"/>
      <c r="B89" s="145"/>
    </row>
    <row r="90" spans="1:11" ht="27" customHeight="1" x14ac:dyDescent="0.4">
      <c r="A90" s="218" t="s">
        <v>54</v>
      </c>
      <c r="B90" s="156">
        <v>100</v>
      </c>
      <c r="D90" s="185" t="s">
        <v>55</v>
      </c>
      <c r="E90" s="186"/>
      <c r="F90" s="388" t="s">
        <v>56</v>
      </c>
      <c r="G90" s="389"/>
    </row>
    <row r="91" spans="1:11" ht="26.25" customHeight="1" x14ac:dyDescent="0.4">
      <c r="A91" s="219" t="s">
        <v>112</v>
      </c>
      <c r="B91" s="157">
        <v>10</v>
      </c>
      <c r="C91" s="187" t="s">
        <v>57</v>
      </c>
      <c r="D91" s="159" t="s">
        <v>58</v>
      </c>
      <c r="E91" s="160" t="s">
        <v>59</v>
      </c>
      <c r="F91" s="159" t="s">
        <v>58</v>
      </c>
      <c r="G91" s="161" t="s">
        <v>59</v>
      </c>
    </row>
    <row r="92" spans="1:11" ht="26.25" customHeight="1" x14ac:dyDescent="0.4">
      <c r="A92" s="219" t="s">
        <v>113</v>
      </c>
      <c r="B92" s="157">
        <v>100</v>
      </c>
      <c r="C92" s="258">
        <v>1</v>
      </c>
      <c r="D92" s="163">
        <v>1591675</v>
      </c>
      <c r="E92" s="221">
        <f>IF(ISBLANK(D92),"-",$D$102/$D$99*D92)</f>
        <v>1333498.9376746807</v>
      </c>
      <c r="F92" s="163">
        <v>1387513</v>
      </c>
      <c r="G92" s="222">
        <f>IF(ISBLANK(F92),"-",$D$102/$F$99*F92)</f>
        <v>1324719.9496658875</v>
      </c>
    </row>
    <row r="93" spans="1:11" ht="26.25" customHeight="1" x14ac:dyDescent="0.4">
      <c r="A93" s="219" t="s">
        <v>114</v>
      </c>
      <c r="B93" s="157">
        <v>1</v>
      </c>
      <c r="C93" s="150">
        <v>2</v>
      </c>
      <c r="D93" s="176">
        <v>1585029</v>
      </c>
      <c r="E93" s="223">
        <f>IF(ISBLANK(D93),"-",$D$102/$D$99*D93)</f>
        <v>1327930.9455030465</v>
      </c>
      <c r="F93" s="176">
        <v>1383775</v>
      </c>
      <c r="G93" s="224">
        <f>IF(ISBLANK(F93),"-",$D$102/$F$99*F93)</f>
        <v>1321151.1159527251</v>
      </c>
    </row>
    <row r="94" spans="1:11" ht="26.25" customHeight="1" x14ac:dyDescent="0.4">
      <c r="A94" s="219" t="s">
        <v>115</v>
      </c>
      <c r="B94" s="157">
        <v>1</v>
      </c>
      <c r="C94" s="150">
        <v>3</v>
      </c>
      <c r="D94" s="176">
        <v>1583369</v>
      </c>
      <c r="E94" s="223">
        <f>IF(ISBLANK(D94),"-",$D$102/$D$99*D94)</f>
        <v>1326540.204154128</v>
      </c>
      <c r="F94" s="176">
        <v>1383653</v>
      </c>
      <c r="G94" s="224">
        <f>IF(ISBLANK(F94),"-",$D$102/$F$99*F94)</f>
        <v>1321034.637163799</v>
      </c>
    </row>
    <row r="95" spans="1:11" ht="26.25" customHeight="1" x14ac:dyDescent="0.4">
      <c r="A95" s="219" t="s">
        <v>116</v>
      </c>
      <c r="B95" s="157">
        <v>1</v>
      </c>
      <c r="C95" s="259">
        <v>4</v>
      </c>
      <c r="D95" s="164"/>
      <c r="E95" s="226" t="str">
        <f>IF(ISBLANK(D95),"-",$D$102/$D$99*D95)</f>
        <v>-</v>
      </c>
      <c r="F95" s="188"/>
      <c r="G95" s="227" t="str">
        <f>IF(ISBLANK(F95),"-",$D$102/$F$99*F95)</f>
        <v>-</v>
      </c>
    </row>
    <row r="96" spans="1:11" ht="27" customHeight="1" x14ac:dyDescent="0.4">
      <c r="A96" s="219" t="s">
        <v>117</v>
      </c>
      <c r="B96" s="157">
        <v>1</v>
      </c>
      <c r="C96" s="146" t="s">
        <v>60</v>
      </c>
      <c r="D96" s="189">
        <f>AVERAGE(D92:D95)</f>
        <v>1586691</v>
      </c>
      <c r="E96" s="166">
        <f>AVERAGE(E92:E95)</f>
        <v>1329323.3624439519</v>
      </c>
      <c r="F96" s="190">
        <f>AVERAGE(F92:F95)</f>
        <v>1384980.3333333333</v>
      </c>
      <c r="G96" s="191">
        <f>AVERAGE(G92:G95)</f>
        <v>1322301.9009274708</v>
      </c>
    </row>
    <row r="97" spans="1:9" ht="26.25" customHeight="1" x14ac:dyDescent="0.4">
      <c r="A97" s="219" t="s">
        <v>118</v>
      </c>
      <c r="B97" s="147">
        <v>1</v>
      </c>
      <c r="C97" s="230" t="s">
        <v>61</v>
      </c>
      <c r="D97" s="192">
        <v>23.92</v>
      </c>
      <c r="E97" s="143"/>
      <c r="F97" s="168">
        <v>20.99</v>
      </c>
    </row>
    <row r="98" spans="1:9" ht="26.25" customHeight="1" x14ac:dyDescent="0.4">
      <c r="A98" s="219" t="s">
        <v>119</v>
      </c>
      <c r="B98" s="147">
        <v>1</v>
      </c>
      <c r="C98" s="231" t="s">
        <v>62</v>
      </c>
      <c r="D98" s="232">
        <f>D97*B88</f>
        <v>23.92</v>
      </c>
      <c r="E98" s="150"/>
      <c r="F98" s="233">
        <f>F97*B88</f>
        <v>20.99</v>
      </c>
    </row>
    <row r="99" spans="1:9" ht="19.5" customHeight="1" x14ac:dyDescent="0.3">
      <c r="A99" s="219" t="s">
        <v>63</v>
      </c>
      <c r="B99" s="150">
        <f>(B98/B97)*(B96/B95)*(B94/B93)*(B92/B91)*B90</f>
        <v>1000</v>
      </c>
      <c r="C99" s="231" t="s">
        <v>64</v>
      </c>
      <c r="D99" s="234">
        <f>D98*$B$84/100</f>
        <v>23.872159999999997</v>
      </c>
      <c r="E99" s="153"/>
      <c r="F99" s="235">
        <f>F98*$B$84/100</f>
        <v>20.948019999999996</v>
      </c>
    </row>
    <row r="100" spans="1:9" ht="19.5" customHeight="1" x14ac:dyDescent="0.3">
      <c r="A100" s="401" t="s">
        <v>65</v>
      </c>
      <c r="B100" s="405"/>
      <c r="C100" s="231" t="s">
        <v>66</v>
      </c>
      <c r="D100" s="232">
        <f>D99/$B$99</f>
        <v>2.3872159999999996E-2</v>
      </c>
      <c r="E100" s="153"/>
      <c r="F100" s="236">
        <f>F99/$B$99</f>
        <v>2.0948019999999998E-2</v>
      </c>
      <c r="H100" s="229"/>
    </row>
    <row r="101" spans="1:9" ht="19.5" customHeight="1" x14ac:dyDescent="0.3">
      <c r="A101" s="403"/>
      <c r="B101" s="406"/>
      <c r="C101" s="231" t="s">
        <v>67</v>
      </c>
      <c r="D101" s="234">
        <f>$B$56/$B$117</f>
        <v>0.02</v>
      </c>
      <c r="F101" s="237"/>
      <c r="G101" s="260"/>
      <c r="H101" s="229"/>
    </row>
    <row r="102" spans="1:9" ht="18.75" x14ac:dyDescent="0.3">
      <c r="C102" s="231" t="s">
        <v>68</v>
      </c>
      <c r="D102" s="232">
        <f>D101*$B$99</f>
        <v>20</v>
      </c>
      <c r="F102" s="237"/>
      <c r="H102" s="229"/>
    </row>
    <row r="103" spans="1:9" ht="19.5" customHeight="1" x14ac:dyDescent="0.3">
      <c r="C103" s="238" t="s">
        <v>69</v>
      </c>
      <c r="D103" s="239">
        <f>D102/B34</f>
        <v>20</v>
      </c>
      <c r="F103" s="201"/>
      <c r="H103" s="229"/>
      <c r="I103" s="193"/>
    </row>
    <row r="104" spans="1:9" ht="18.75" x14ac:dyDescent="0.3">
      <c r="C104" s="240" t="s">
        <v>100</v>
      </c>
      <c r="D104" s="170">
        <f>AVERAGE(E92:E95,G92:G95)</f>
        <v>1325812.6316857112</v>
      </c>
      <c r="F104" s="201"/>
      <c r="G104" s="260"/>
      <c r="H104" s="229"/>
      <c r="I104" s="261"/>
    </row>
    <row r="105" spans="1:9" ht="18.75" x14ac:dyDescent="0.3">
      <c r="C105" s="241" t="s">
        <v>71</v>
      </c>
      <c r="D105" s="194">
        <f>STDEV(E92:E95,G92:G95)/D104</f>
        <v>3.5353349130577199E-3</v>
      </c>
      <c r="F105" s="201"/>
      <c r="H105" s="229"/>
      <c r="I105" s="261"/>
    </row>
    <row r="106" spans="1:9" ht="19.5" customHeight="1" x14ac:dyDescent="0.3">
      <c r="C106" s="242" t="s">
        <v>19</v>
      </c>
      <c r="D106" s="195">
        <f>COUNT(E92:E95,G92:G95)</f>
        <v>6</v>
      </c>
      <c r="F106" s="201"/>
      <c r="H106" s="229"/>
      <c r="I106" s="261"/>
    </row>
    <row r="107" spans="1:9" ht="19.5" customHeight="1" x14ac:dyDescent="0.3">
      <c r="A107" s="142"/>
      <c r="B107" s="142"/>
      <c r="C107" s="142"/>
      <c r="D107" s="142"/>
      <c r="E107" s="142"/>
    </row>
    <row r="108" spans="1:9" ht="26.25" customHeight="1" x14ac:dyDescent="0.4">
      <c r="A108" s="218" t="s">
        <v>92</v>
      </c>
      <c r="B108" s="156">
        <v>1000</v>
      </c>
      <c r="C108" s="185" t="s">
        <v>93</v>
      </c>
      <c r="D108" s="196" t="s">
        <v>58</v>
      </c>
      <c r="E108" s="197" t="s">
        <v>94</v>
      </c>
      <c r="F108" s="198" t="s">
        <v>95</v>
      </c>
    </row>
    <row r="109" spans="1:9" ht="26.25" customHeight="1" x14ac:dyDescent="0.4">
      <c r="A109" s="219" t="s">
        <v>120</v>
      </c>
      <c r="B109" s="157">
        <v>10</v>
      </c>
      <c r="C109" s="262">
        <v>1</v>
      </c>
      <c r="D109" s="199">
        <v>800765</v>
      </c>
      <c r="E109" s="263">
        <f t="shared" ref="E109:E114" si="1">IF(ISBLANK(D109),"-",D109/$D$104*$D$101*$B$117)</f>
        <v>24.159220718296016</v>
      </c>
      <c r="F109" s="264">
        <f t="shared" ref="F109:F114" si="2">IF(ISBLANK(D109), "-", E109/$B$56)</f>
        <v>0.60398051795740038</v>
      </c>
    </row>
    <row r="110" spans="1:9" ht="26.25" customHeight="1" x14ac:dyDescent="0.4">
      <c r="A110" s="219" t="s">
        <v>121</v>
      </c>
      <c r="B110" s="157">
        <v>20</v>
      </c>
      <c r="C110" s="262">
        <v>2</v>
      </c>
      <c r="D110" s="199">
        <v>787095</v>
      </c>
      <c r="E110" s="265">
        <f t="shared" si="1"/>
        <v>23.746794416922825</v>
      </c>
      <c r="F110" s="266">
        <f t="shared" si="2"/>
        <v>0.59366986042307057</v>
      </c>
    </row>
    <row r="111" spans="1:9" ht="26.25" customHeight="1" x14ac:dyDescent="0.4">
      <c r="A111" s="219" t="s">
        <v>122</v>
      </c>
      <c r="B111" s="157">
        <v>1</v>
      </c>
      <c r="C111" s="262">
        <v>3</v>
      </c>
      <c r="D111" s="199">
        <v>830986</v>
      </c>
      <c r="E111" s="265">
        <f t="shared" si="1"/>
        <v>25.070993597140152</v>
      </c>
      <c r="F111" s="266">
        <f t="shared" si="2"/>
        <v>0.6267748399285038</v>
      </c>
    </row>
    <row r="112" spans="1:9" ht="26.25" customHeight="1" x14ac:dyDescent="0.4">
      <c r="A112" s="219" t="s">
        <v>123</v>
      </c>
      <c r="B112" s="157">
        <v>1</v>
      </c>
      <c r="C112" s="262">
        <v>4</v>
      </c>
      <c r="D112" s="199">
        <v>856670</v>
      </c>
      <c r="E112" s="265">
        <f t="shared" si="1"/>
        <v>25.84588438898135</v>
      </c>
      <c r="F112" s="266">
        <f t="shared" si="2"/>
        <v>0.64614710972453371</v>
      </c>
    </row>
    <row r="113" spans="1:9" ht="26.25" customHeight="1" x14ac:dyDescent="0.4">
      <c r="A113" s="219" t="s">
        <v>124</v>
      </c>
      <c r="B113" s="157">
        <v>1</v>
      </c>
      <c r="C113" s="262">
        <v>5</v>
      </c>
      <c r="D113" s="199">
        <v>826696</v>
      </c>
      <c r="E113" s="265">
        <f t="shared" si="1"/>
        <v>24.941563543527057</v>
      </c>
      <c r="F113" s="266">
        <f t="shared" si="2"/>
        <v>0.62353908858817642</v>
      </c>
    </row>
    <row r="114" spans="1:9" ht="26.25" customHeight="1" x14ac:dyDescent="0.4">
      <c r="A114" s="219" t="s">
        <v>125</v>
      </c>
      <c r="B114" s="157">
        <v>1</v>
      </c>
      <c r="C114" s="267">
        <v>6</v>
      </c>
      <c r="D114" s="200">
        <v>836678</v>
      </c>
      <c r="E114" s="268">
        <f t="shared" si="1"/>
        <v>25.242722237038926</v>
      </c>
      <c r="F114" s="269">
        <f t="shared" si="2"/>
        <v>0.63106805592597315</v>
      </c>
    </row>
    <row r="115" spans="1:9" ht="26.25" customHeight="1" x14ac:dyDescent="0.4">
      <c r="A115" s="219" t="s">
        <v>126</v>
      </c>
      <c r="B115" s="157">
        <v>1</v>
      </c>
      <c r="C115" s="262"/>
      <c r="D115" s="150"/>
      <c r="E115" s="143"/>
      <c r="F115" s="270"/>
    </row>
    <row r="116" spans="1:9" ht="26.25" customHeight="1" x14ac:dyDescent="0.4">
      <c r="A116" s="219" t="s">
        <v>127</v>
      </c>
      <c r="B116" s="157">
        <v>1</v>
      </c>
      <c r="C116" s="262"/>
      <c r="D116" s="201"/>
      <c r="E116" s="271" t="s">
        <v>60</v>
      </c>
      <c r="F116" s="202">
        <f>AVERAGE(F109:F114)</f>
        <v>0.62086324542460969</v>
      </c>
    </row>
    <row r="117" spans="1:9" ht="27" customHeight="1" x14ac:dyDescent="0.4">
      <c r="A117" s="219" t="s">
        <v>83</v>
      </c>
      <c r="B117" s="179">
        <f>(B116/B115)*(B114/B113)*(B112/B111)*(B110/B109)*B108</f>
        <v>2000</v>
      </c>
      <c r="C117" s="272"/>
      <c r="D117" s="273"/>
      <c r="E117" s="146" t="s">
        <v>71</v>
      </c>
      <c r="F117" s="203">
        <f>STDEV(F109:F114)/F116</f>
        <v>3.0645126555550968E-2</v>
      </c>
    </row>
    <row r="118" spans="1:9" ht="27" customHeight="1" x14ac:dyDescent="0.4">
      <c r="A118" s="401" t="s">
        <v>65</v>
      </c>
      <c r="B118" s="402"/>
      <c r="C118" s="274"/>
      <c r="D118" s="275"/>
      <c r="E118" s="276" t="s">
        <v>19</v>
      </c>
      <c r="F118" s="204">
        <f>COUNT(F109:F114)</f>
        <v>6</v>
      </c>
      <c r="I118" s="261"/>
    </row>
    <row r="119" spans="1:9" ht="19.5" customHeight="1" x14ac:dyDescent="0.3">
      <c r="A119" s="403"/>
      <c r="B119" s="404"/>
      <c r="C119" s="143"/>
      <c r="D119" s="143"/>
      <c r="E119" s="143"/>
      <c r="F119" s="150"/>
      <c r="G119" s="143"/>
      <c r="H119" s="143"/>
    </row>
    <row r="120" spans="1:9" ht="18.75" x14ac:dyDescent="0.3">
      <c r="A120" s="154"/>
      <c r="B120" s="154"/>
      <c r="C120" s="143"/>
      <c r="D120" s="143"/>
      <c r="E120" s="143"/>
      <c r="F120" s="150"/>
      <c r="G120" s="143"/>
      <c r="H120" s="143"/>
    </row>
    <row r="121" spans="1:9" ht="26.25" customHeight="1" x14ac:dyDescent="0.4">
      <c r="A121" s="146" t="s">
        <v>86</v>
      </c>
      <c r="B121" s="146" t="s">
        <v>87</v>
      </c>
      <c r="C121" s="383" t="str">
        <f>B20</f>
        <v xml:space="preserve">Artemether  Lumefantrine </v>
      </c>
      <c r="D121" s="383"/>
      <c r="E121" s="143" t="s">
        <v>96</v>
      </c>
      <c r="F121" s="143"/>
      <c r="G121" s="205">
        <f>F116</f>
        <v>0.62086324542460969</v>
      </c>
      <c r="H121" s="143"/>
    </row>
    <row r="122" spans="1:9" ht="18.75" x14ac:dyDescent="0.3">
      <c r="A122" s="154"/>
      <c r="B122" s="154"/>
      <c r="C122" s="143"/>
      <c r="D122" s="143"/>
      <c r="E122" s="143"/>
      <c r="F122" s="150"/>
      <c r="G122" s="143"/>
      <c r="H122" s="143"/>
    </row>
    <row r="123" spans="1:9" ht="26.25" customHeight="1" x14ac:dyDescent="0.4">
      <c r="A123" s="145" t="s">
        <v>89</v>
      </c>
      <c r="B123" s="145" t="s">
        <v>90</v>
      </c>
      <c r="D123" s="184" t="s">
        <v>97</v>
      </c>
    </row>
    <row r="124" spans="1:9" ht="19.5" customHeight="1" x14ac:dyDescent="0.3">
      <c r="A124" s="142"/>
      <c r="B124" s="142"/>
      <c r="C124" s="142"/>
      <c r="D124" s="142"/>
      <c r="E124" s="142"/>
    </row>
    <row r="125" spans="1:9" ht="26.25" customHeight="1" x14ac:dyDescent="0.4">
      <c r="A125" s="218" t="s">
        <v>92</v>
      </c>
      <c r="B125" s="156">
        <v>1000</v>
      </c>
      <c r="C125" s="185" t="s">
        <v>93</v>
      </c>
      <c r="D125" s="196" t="s">
        <v>58</v>
      </c>
      <c r="E125" s="197" t="s">
        <v>94</v>
      </c>
      <c r="F125" s="198" t="s">
        <v>95</v>
      </c>
    </row>
    <row r="126" spans="1:9" ht="26.25" customHeight="1" x14ac:dyDescent="0.4">
      <c r="A126" s="219" t="s">
        <v>120</v>
      </c>
      <c r="B126" s="157">
        <v>10</v>
      </c>
      <c r="C126" s="262">
        <v>1</v>
      </c>
      <c r="D126" s="199">
        <v>1038556</v>
      </c>
      <c r="E126" s="277">
        <f t="shared" ref="E126:E131" si="3">IF(ISBLANK(D126),"-",D126/$D$104*$D$101*$B$134)</f>
        <v>31.3334169604199</v>
      </c>
      <c r="F126" s="278">
        <f t="shared" ref="F126:F131" si="4">IF(ISBLANK(D126), "-", E126/$B$56)</f>
        <v>0.78333542401049749</v>
      </c>
    </row>
    <row r="127" spans="1:9" ht="26.25" customHeight="1" x14ac:dyDescent="0.4">
      <c r="A127" s="219" t="s">
        <v>121</v>
      </c>
      <c r="B127" s="157">
        <v>20</v>
      </c>
      <c r="C127" s="262">
        <v>2</v>
      </c>
      <c r="D127" s="199">
        <v>993342</v>
      </c>
      <c r="E127" s="279">
        <f t="shared" si="3"/>
        <v>29.969302637794613</v>
      </c>
      <c r="F127" s="280">
        <f t="shared" si="4"/>
        <v>0.74923256594486531</v>
      </c>
    </row>
    <row r="128" spans="1:9" ht="26.25" customHeight="1" x14ac:dyDescent="0.4">
      <c r="A128" s="219" t="s">
        <v>122</v>
      </c>
      <c r="B128" s="157">
        <v>1</v>
      </c>
      <c r="C128" s="262">
        <v>3</v>
      </c>
      <c r="D128" s="199">
        <v>1057450</v>
      </c>
      <c r="E128" s="279">
        <f t="shared" si="3"/>
        <v>31.903452259479526</v>
      </c>
      <c r="F128" s="280">
        <f t="shared" si="4"/>
        <v>0.79758630648698814</v>
      </c>
    </row>
    <row r="129" spans="1:9" ht="26.25" customHeight="1" x14ac:dyDescent="0.4">
      <c r="A129" s="219" t="s">
        <v>123</v>
      </c>
      <c r="B129" s="157">
        <v>1</v>
      </c>
      <c r="C129" s="262">
        <v>4</v>
      </c>
      <c r="D129" s="199">
        <v>883810</v>
      </c>
      <c r="E129" s="279">
        <f t="shared" si="3"/>
        <v>26.664702956594262</v>
      </c>
      <c r="F129" s="280">
        <f t="shared" si="4"/>
        <v>0.66661757391485654</v>
      </c>
    </row>
    <row r="130" spans="1:9" ht="26.25" customHeight="1" x14ac:dyDescent="0.4">
      <c r="A130" s="219" t="s">
        <v>124</v>
      </c>
      <c r="B130" s="157">
        <v>1</v>
      </c>
      <c r="C130" s="262">
        <v>5</v>
      </c>
      <c r="D130" s="199">
        <v>972385</v>
      </c>
      <c r="E130" s="279">
        <f t="shared" si="3"/>
        <v>29.337026266333158</v>
      </c>
      <c r="F130" s="280">
        <f t="shared" si="4"/>
        <v>0.73342565665832893</v>
      </c>
    </row>
    <row r="131" spans="1:9" ht="26.25" customHeight="1" x14ac:dyDescent="0.4">
      <c r="A131" s="219" t="s">
        <v>125</v>
      </c>
      <c r="B131" s="157">
        <v>1</v>
      </c>
      <c r="C131" s="267">
        <v>6</v>
      </c>
      <c r="D131" s="200">
        <v>1092212</v>
      </c>
      <c r="E131" s="281">
        <f t="shared" si="3"/>
        <v>32.952227906029272</v>
      </c>
      <c r="F131" s="282">
        <f t="shared" si="4"/>
        <v>0.82380569765073175</v>
      </c>
    </row>
    <row r="132" spans="1:9" ht="26.25" customHeight="1" x14ac:dyDescent="0.4">
      <c r="A132" s="219" t="s">
        <v>126</v>
      </c>
      <c r="B132" s="157">
        <v>1</v>
      </c>
      <c r="C132" s="262"/>
      <c r="D132" s="150"/>
      <c r="E132" s="143"/>
      <c r="F132" s="270"/>
    </row>
    <row r="133" spans="1:9" ht="26.25" customHeight="1" x14ac:dyDescent="0.4">
      <c r="A133" s="219" t="s">
        <v>127</v>
      </c>
      <c r="B133" s="157">
        <v>1</v>
      </c>
      <c r="C133" s="262"/>
      <c r="D133" s="201"/>
      <c r="E133" s="271" t="s">
        <v>60</v>
      </c>
      <c r="F133" s="202">
        <f>AVERAGE(F126:F131)</f>
        <v>0.75900053744437812</v>
      </c>
    </row>
    <row r="134" spans="1:9" ht="27" customHeight="1" x14ac:dyDescent="0.4">
      <c r="A134" s="219" t="s">
        <v>83</v>
      </c>
      <c r="B134" s="283">
        <f>(B133/B132)*(B131/B130)*(B129/B128)*(B127/B126)*B125</f>
        <v>2000</v>
      </c>
      <c r="C134" s="272"/>
      <c r="D134" s="273"/>
      <c r="E134" s="146" t="s">
        <v>71</v>
      </c>
      <c r="F134" s="203">
        <f>STDEV(F126:F131)/F133</f>
        <v>7.3509840306855104E-2</v>
      </c>
    </row>
    <row r="135" spans="1:9" ht="27" customHeight="1" x14ac:dyDescent="0.4">
      <c r="A135" s="401" t="s">
        <v>65</v>
      </c>
      <c r="B135" s="402"/>
      <c r="C135" s="274"/>
      <c r="D135" s="275"/>
      <c r="E135" s="276" t="s">
        <v>19</v>
      </c>
      <c r="F135" s="204">
        <f>COUNT(F126:F131)</f>
        <v>6</v>
      </c>
      <c r="I135" s="261"/>
    </row>
    <row r="136" spans="1:9" ht="19.5" customHeight="1" x14ac:dyDescent="0.3">
      <c r="A136" s="403"/>
      <c r="B136" s="404"/>
      <c r="C136" s="143"/>
      <c r="D136" s="143"/>
      <c r="E136" s="143"/>
      <c r="F136" s="150"/>
      <c r="G136" s="143"/>
      <c r="H136" s="143"/>
    </row>
    <row r="137" spans="1:9" ht="18.75" x14ac:dyDescent="0.3">
      <c r="A137" s="154"/>
      <c r="B137" s="154"/>
      <c r="C137" s="143"/>
      <c r="D137" s="143"/>
      <c r="E137" s="143"/>
      <c r="F137" s="150"/>
      <c r="G137" s="143"/>
      <c r="H137" s="143"/>
    </row>
    <row r="138" spans="1:9" ht="26.25" customHeight="1" x14ac:dyDescent="0.4">
      <c r="A138" s="146" t="s">
        <v>86</v>
      </c>
      <c r="B138" s="146" t="s">
        <v>87</v>
      </c>
      <c r="C138" s="383" t="str">
        <f>B20</f>
        <v xml:space="preserve">Artemether  Lumefantrine </v>
      </c>
      <c r="D138" s="383"/>
      <c r="E138" s="143" t="s">
        <v>96</v>
      </c>
      <c r="F138" s="143"/>
      <c r="G138" s="205">
        <f>F133</f>
        <v>0.75900053744437812</v>
      </c>
      <c r="H138" s="143"/>
    </row>
    <row r="139" spans="1:9" ht="19.5" customHeight="1" x14ac:dyDescent="0.3">
      <c r="A139" s="206"/>
      <c r="B139" s="206"/>
      <c r="C139" s="284"/>
      <c r="D139" s="284"/>
      <c r="E139" s="284"/>
      <c r="F139" s="284"/>
      <c r="G139" s="284"/>
      <c r="H139" s="284"/>
    </row>
    <row r="140" spans="1:9" ht="18.75" x14ac:dyDescent="0.3">
      <c r="B140" s="384" t="s">
        <v>22</v>
      </c>
      <c r="C140" s="384"/>
      <c r="E140" s="187" t="s">
        <v>23</v>
      </c>
      <c r="F140" s="187"/>
      <c r="G140" s="384" t="s">
        <v>24</v>
      </c>
      <c r="H140" s="384"/>
    </row>
    <row r="141" spans="1:9" ht="45" customHeight="1" x14ac:dyDescent="0.3">
      <c r="A141" s="146" t="s">
        <v>25</v>
      </c>
      <c r="B141" s="285"/>
      <c r="C141" s="285" t="s">
        <v>108</v>
      </c>
      <c r="E141" s="286"/>
      <c r="F141" s="143"/>
      <c r="G141" s="286"/>
      <c r="H141" s="286"/>
    </row>
    <row r="142" spans="1:9" ht="46.5" customHeight="1" x14ac:dyDescent="0.3">
      <c r="A142" s="146" t="s">
        <v>26</v>
      </c>
      <c r="B142" s="207"/>
      <c r="C142" s="207"/>
      <c r="E142" s="208"/>
      <c r="F142" s="143"/>
      <c r="G142" s="208"/>
      <c r="H142" s="208"/>
    </row>
    <row r="143" spans="1:9" ht="18.75" x14ac:dyDescent="0.3">
      <c r="A143" s="150"/>
      <c r="B143" s="150"/>
      <c r="C143" s="150"/>
      <c r="D143" s="150"/>
      <c r="E143" s="150"/>
      <c r="F143" s="153"/>
      <c r="G143" s="150"/>
      <c r="H143" s="150"/>
    </row>
    <row r="144" spans="1:9" ht="18.75" x14ac:dyDescent="0.3">
      <c r="A144" s="150"/>
      <c r="B144" s="150"/>
      <c r="C144" s="150"/>
      <c r="D144" s="150"/>
      <c r="E144" s="150"/>
      <c r="F144" s="153"/>
      <c r="G144" s="150"/>
      <c r="H144" s="150"/>
    </row>
    <row r="145" spans="1:8" ht="18.75" x14ac:dyDescent="0.3">
      <c r="A145" s="150"/>
      <c r="B145" s="150"/>
      <c r="C145" s="150"/>
      <c r="D145" s="150"/>
      <c r="E145" s="150"/>
      <c r="F145" s="153"/>
      <c r="G145" s="150"/>
      <c r="H145" s="150"/>
    </row>
    <row r="146" spans="1:8" ht="18.75" x14ac:dyDescent="0.3">
      <c r="A146" s="150"/>
      <c r="B146" s="150"/>
      <c r="C146" s="150"/>
      <c r="D146" s="150"/>
      <c r="E146" s="150"/>
      <c r="F146" s="153"/>
      <c r="G146" s="150"/>
      <c r="H146" s="150"/>
    </row>
    <row r="147" spans="1:8" ht="18.75" x14ac:dyDescent="0.3">
      <c r="A147" s="150"/>
      <c r="B147" s="150"/>
      <c r="C147" s="150"/>
      <c r="D147" s="150"/>
      <c r="E147" s="150"/>
      <c r="F147" s="153"/>
      <c r="G147" s="150"/>
      <c r="H147" s="150"/>
    </row>
    <row r="148" spans="1:8" ht="18.75" x14ac:dyDescent="0.3">
      <c r="A148" s="150"/>
      <c r="B148" s="150"/>
      <c r="C148" s="150"/>
      <c r="D148" s="150"/>
      <c r="E148" s="150"/>
      <c r="F148" s="153"/>
      <c r="G148" s="150"/>
      <c r="H148" s="150"/>
    </row>
    <row r="149" spans="1:8" ht="18.75" x14ac:dyDescent="0.3">
      <c r="A149" s="150"/>
      <c r="B149" s="150"/>
      <c r="C149" s="150"/>
      <c r="D149" s="150"/>
      <c r="E149" s="150"/>
      <c r="F149" s="153"/>
      <c r="G149" s="150"/>
      <c r="H149" s="150"/>
    </row>
    <row r="150" spans="1:8" ht="18.75" x14ac:dyDescent="0.3">
      <c r="A150" s="150"/>
      <c r="B150" s="150"/>
      <c r="C150" s="150"/>
      <c r="D150" s="150"/>
      <c r="E150" s="150"/>
      <c r="F150" s="153"/>
      <c r="G150" s="150"/>
      <c r="H150" s="150"/>
    </row>
    <row r="151" spans="1:8" ht="18.75" x14ac:dyDescent="0.3">
      <c r="A151" s="150"/>
      <c r="B151" s="150"/>
      <c r="C151" s="150"/>
      <c r="D151" s="150"/>
      <c r="E151" s="150"/>
      <c r="F151" s="153"/>
      <c r="G151" s="150"/>
      <c r="H151" s="150"/>
    </row>
    <row r="250" spans="1:1" x14ac:dyDescent="0.3">
      <c r="A250" s="20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1" fitToHeight="2" orientation="portrait" r:id="rId1"/>
  <headerFooter alignWithMargins="0">
    <oddFooter>&amp;LNQCL/ADDO/014&amp;C&amp;P of &amp;N&amp;R&amp;D &amp;T</oddFooter>
  </headerFooter>
  <rowBreaks count="1" manualBreakCount="1">
    <brk id="142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7"/>
  <sheetViews>
    <sheetView tabSelected="1" view="pageBreakPreview" topLeftCell="A103" zoomScale="55" zoomScaleNormal="75" workbookViewId="0">
      <selection activeCell="F116" sqref="F116"/>
    </sheetView>
  </sheetViews>
  <sheetFormatPr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  <col min="13" max="16384" width="9.140625" style="123"/>
  </cols>
  <sheetData>
    <row r="1" spans="1:8" x14ac:dyDescent="0.3">
      <c r="A1" s="418" t="s">
        <v>41</v>
      </c>
      <c r="B1" s="418"/>
      <c r="C1" s="418"/>
      <c r="D1" s="418"/>
      <c r="E1" s="418"/>
      <c r="F1" s="418"/>
      <c r="G1" s="418"/>
      <c r="H1" s="418"/>
    </row>
    <row r="2" spans="1:8" x14ac:dyDescent="0.3">
      <c r="A2" s="418"/>
      <c r="B2" s="418"/>
      <c r="C2" s="418"/>
      <c r="D2" s="418"/>
      <c r="E2" s="418"/>
      <c r="F2" s="418"/>
      <c r="G2" s="418"/>
      <c r="H2" s="418"/>
    </row>
    <row r="3" spans="1:8" x14ac:dyDescent="0.3">
      <c r="A3" s="418"/>
      <c r="B3" s="418"/>
      <c r="C3" s="418"/>
      <c r="D3" s="418"/>
      <c r="E3" s="418"/>
      <c r="F3" s="418"/>
      <c r="G3" s="418"/>
      <c r="H3" s="418"/>
    </row>
    <row r="4" spans="1:8" x14ac:dyDescent="0.3">
      <c r="A4" s="418"/>
      <c r="B4" s="418"/>
      <c r="C4" s="418"/>
      <c r="D4" s="418"/>
      <c r="E4" s="418"/>
      <c r="F4" s="418"/>
      <c r="G4" s="418"/>
      <c r="H4" s="418"/>
    </row>
    <row r="5" spans="1:8" x14ac:dyDescent="0.3">
      <c r="A5" s="418"/>
      <c r="B5" s="418"/>
      <c r="C5" s="418"/>
      <c r="D5" s="418"/>
      <c r="E5" s="418"/>
      <c r="F5" s="418"/>
      <c r="G5" s="418"/>
      <c r="H5" s="418"/>
    </row>
    <row r="6" spans="1:8" x14ac:dyDescent="0.3">
      <c r="A6" s="418"/>
      <c r="B6" s="418"/>
      <c r="C6" s="418"/>
      <c r="D6" s="418"/>
      <c r="E6" s="418"/>
      <c r="F6" s="418"/>
      <c r="G6" s="418"/>
      <c r="H6" s="418"/>
    </row>
    <row r="7" spans="1:8" x14ac:dyDescent="0.3">
      <c r="A7" s="418"/>
      <c r="B7" s="418"/>
      <c r="C7" s="418"/>
      <c r="D7" s="418"/>
      <c r="E7" s="418"/>
      <c r="F7" s="418"/>
      <c r="G7" s="418"/>
      <c r="H7" s="418"/>
    </row>
    <row r="8" spans="1:8" x14ac:dyDescent="0.3">
      <c r="A8" s="419" t="s">
        <v>42</v>
      </c>
      <c r="B8" s="419"/>
      <c r="C8" s="419"/>
      <c r="D8" s="419"/>
      <c r="E8" s="419"/>
      <c r="F8" s="419"/>
      <c r="G8" s="419"/>
      <c r="H8" s="419"/>
    </row>
    <row r="9" spans="1:8" x14ac:dyDescent="0.3">
      <c r="A9" s="419"/>
      <c r="B9" s="419"/>
      <c r="C9" s="419"/>
      <c r="D9" s="419"/>
      <c r="E9" s="419"/>
      <c r="F9" s="419"/>
      <c r="G9" s="419"/>
      <c r="H9" s="419"/>
    </row>
    <row r="10" spans="1:8" x14ac:dyDescent="0.3">
      <c r="A10" s="419"/>
      <c r="B10" s="419"/>
      <c r="C10" s="419"/>
      <c r="D10" s="419"/>
      <c r="E10" s="419"/>
      <c r="F10" s="419"/>
      <c r="G10" s="419"/>
      <c r="H10" s="419"/>
    </row>
    <row r="11" spans="1:8" x14ac:dyDescent="0.3">
      <c r="A11" s="419"/>
      <c r="B11" s="419"/>
      <c r="C11" s="419"/>
      <c r="D11" s="419"/>
      <c r="E11" s="419"/>
      <c r="F11" s="419"/>
      <c r="G11" s="419"/>
      <c r="H11" s="419"/>
    </row>
    <row r="12" spans="1:8" x14ac:dyDescent="0.3">
      <c r="A12" s="419"/>
      <c r="B12" s="419"/>
      <c r="C12" s="419"/>
      <c r="D12" s="419"/>
      <c r="E12" s="419"/>
      <c r="F12" s="419"/>
      <c r="G12" s="419"/>
      <c r="H12" s="419"/>
    </row>
    <row r="13" spans="1:8" x14ac:dyDescent="0.3">
      <c r="A13" s="419"/>
      <c r="B13" s="419"/>
      <c r="C13" s="419"/>
      <c r="D13" s="419"/>
      <c r="E13" s="419"/>
      <c r="F13" s="419"/>
      <c r="G13" s="419"/>
      <c r="H13" s="419"/>
    </row>
    <row r="14" spans="1:8" x14ac:dyDescent="0.3">
      <c r="A14" s="419"/>
      <c r="B14" s="419"/>
      <c r="C14" s="419"/>
      <c r="D14" s="419"/>
      <c r="E14" s="419"/>
      <c r="F14" s="419"/>
      <c r="G14" s="419"/>
      <c r="H14" s="419"/>
    </row>
    <row r="15" spans="1:8" ht="19.5" customHeight="1" x14ac:dyDescent="0.3"/>
    <row r="16" spans="1:8" ht="19.5" customHeight="1" x14ac:dyDescent="0.3">
      <c r="A16" s="420" t="s">
        <v>27</v>
      </c>
      <c r="B16" s="421"/>
      <c r="C16" s="421"/>
      <c r="D16" s="421"/>
      <c r="E16" s="421"/>
      <c r="F16" s="421"/>
      <c r="G16" s="421"/>
      <c r="H16" s="422"/>
    </row>
    <row r="17" spans="1:14" ht="18.75" x14ac:dyDescent="0.3">
      <c r="A17" s="64" t="s">
        <v>43</v>
      </c>
      <c r="B17" s="64"/>
    </row>
    <row r="18" spans="1:14" ht="18.75" x14ac:dyDescent="0.3">
      <c r="A18" s="65" t="s">
        <v>29</v>
      </c>
      <c r="B18" s="426" t="s">
        <v>5</v>
      </c>
      <c r="C18" s="426"/>
      <c r="D18" s="122"/>
      <c r="E18" s="122"/>
    </row>
    <row r="19" spans="1:14" ht="18.75" x14ac:dyDescent="0.3">
      <c r="A19" s="65" t="s">
        <v>30</v>
      </c>
      <c r="B19" s="122" t="s">
        <v>7</v>
      </c>
      <c r="C19" s="65">
        <v>29</v>
      </c>
    </row>
    <row r="20" spans="1:14" ht="18.75" x14ac:dyDescent="0.3">
      <c r="A20" s="65" t="s">
        <v>31</v>
      </c>
      <c r="B20" s="122" t="s">
        <v>9</v>
      </c>
    </row>
    <row r="21" spans="1:14" ht="18.75" x14ac:dyDescent="0.3">
      <c r="A21" s="65" t="s">
        <v>32</v>
      </c>
      <c r="B21" s="287" t="s">
        <v>11</v>
      </c>
      <c r="C21" s="287"/>
      <c r="D21" s="287"/>
      <c r="E21" s="287"/>
      <c r="F21" s="287"/>
      <c r="G21" s="287"/>
      <c r="H21" s="287"/>
      <c r="I21" s="287"/>
    </row>
    <row r="22" spans="1:14" ht="18.75" x14ac:dyDescent="0.3">
      <c r="A22" s="65" t="s">
        <v>33</v>
      </c>
      <c r="B22" s="288" t="s">
        <v>107</v>
      </c>
    </row>
    <row r="23" spans="1:14" ht="18.75" x14ac:dyDescent="0.3">
      <c r="A23" s="65" t="s">
        <v>34</v>
      </c>
      <c r="B23" s="288" t="s">
        <v>104</v>
      </c>
    </row>
    <row r="24" spans="1:14" ht="18.75" x14ac:dyDescent="0.3">
      <c r="A24" s="65"/>
      <c r="B24" s="289"/>
    </row>
    <row r="25" spans="1:14" ht="18.75" x14ac:dyDescent="0.3">
      <c r="A25" s="66" t="s">
        <v>1</v>
      </c>
      <c r="B25" s="289"/>
    </row>
    <row r="26" spans="1:14" ht="26.25" customHeight="1" x14ac:dyDescent="0.4">
      <c r="A26" s="90" t="s">
        <v>4</v>
      </c>
      <c r="B26" s="427" t="s">
        <v>105</v>
      </c>
      <c r="C26" s="427"/>
    </row>
    <row r="27" spans="1:14" ht="26.25" customHeight="1" x14ac:dyDescent="0.4">
      <c r="A27" s="90" t="s">
        <v>44</v>
      </c>
      <c r="B27" s="428" t="s">
        <v>106</v>
      </c>
      <c r="C27" s="428"/>
    </row>
    <row r="28" spans="1:14" ht="27" customHeight="1" x14ac:dyDescent="0.4">
      <c r="A28" s="90" t="s">
        <v>6</v>
      </c>
      <c r="B28" s="95">
        <v>100.2</v>
      </c>
    </row>
    <row r="29" spans="1:14" s="40" customFormat="1" ht="27" customHeight="1" x14ac:dyDescent="0.4">
      <c r="A29" s="90" t="s">
        <v>45</v>
      </c>
      <c r="B29" s="95">
        <v>0</v>
      </c>
      <c r="C29" s="429" t="s">
        <v>46</v>
      </c>
      <c r="D29" s="430"/>
      <c r="E29" s="430"/>
      <c r="F29" s="430"/>
      <c r="G29" s="431"/>
      <c r="I29" s="67"/>
      <c r="J29" s="67"/>
      <c r="K29" s="67"/>
      <c r="L29" s="67"/>
    </row>
    <row r="30" spans="1:14" s="40" customFormat="1" ht="19.5" customHeight="1" x14ac:dyDescent="0.3">
      <c r="A30" s="90" t="s">
        <v>47</v>
      </c>
      <c r="B30" s="118">
        <f>B28-B29</f>
        <v>100.2</v>
      </c>
      <c r="C30" s="290"/>
      <c r="D30" s="290"/>
      <c r="E30" s="290"/>
      <c r="F30" s="290"/>
      <c r="G30" s="291"/>
      <c r="I30" s="67"/>
      <c r="J30" s="67"/>
      <c r="K30" s="67"/>
      <c r="L30" s="67"/>
    </row>
    <row r="31" spans="1:14" s="40" customFormat="1" ht="27" customHeight="1" x14ac:dyDescent="0.4">
      <c r="A31" s="90" t="s">
        <v>48</v>
      </c>
      <c r="B31" s="96">
        <v>1</v>
      </c>
      <c r="C31" s="423" t="s">
        <v>49</v>
      </c>
      <c r="D31" s="424"/>
      <c r="E31" s="424"/>
      <c r="F31" s="424"/>
      <c r="G31" s="424"/>
      <c r="H31" s="425"/>
      <c r="I31" s="67"/>
      <c r="J31" s="67"/>
      <c r="K31" s="67"/>
      <c r="L31" s="67"/>
    </row>
    <row r="32" spans="1:14" s="40" customFormat="1" ht="27" customHeight="1" x14ac:dyDescent="0.4">
      <c r="A32" s="90" t="s">
        <v>50</v>
      </c>
      <c r="B32" s="96">
        <v>1</v>
      </c>
      <c r="C32" s="423" t="s">
        <v>51</v>
      </c>
      <c r="D32" s="424"/>
      <c r="E32" s="424"/>
      <c r="F32" s="424"/>
      <c r="G32" s="424"/>
      <c r="H32" s="425"/>
      <c r="I32" s="67"/>
      <c r="J32" s="67"/>
      <c r="K32" s="67"/>
      <c r="L32" s="69"/>
      <c r="M32" s="69"/>
      <c r="N32" s="292"/>
    </row>
    <row r="33" spans="1:14" s="40" customFormat="1" ht="17.25" customHeight="1" x14ac:dyDescent="0.3">
      <c r="A33" s="90"/>
      <c r="B33" s="68"/>
      <c r="C33" s="70"/>
      <c r="D33" s="70"/>
      <c r="E33" s="70"/>
      <c r="F33" s="70"/>
      <c r="G33" s="70"/>
      <c r="H33" s="70"/>
      <c r="I33" s="67"/>
      <c r="J33" s="67"/>
      <c r="K33" s="67"/>
      <c r="L33" s="69"/>
      <c r="M33" s="69"/>
      <c r="N33" s="292"/>
    </row>
    <row r="34" spans="1:14" s="40" customFormat="1" ht="18.75" x14ac:dyDescent="0.3">
      <c r="A34" s="90" t="s">
        <v>52</v>
      </c>
      <c r="B34" s="71">
        <f>B31/B32</f>
        <v>1</v>
      </c>
      <c r="C34" s="65" t="s">
        <v>53</v>
      </c>
      <c r="D34" s="65"/>
      <c r="E34" s="65"/>
      <c r="F34" s="65"/>
      <c r="G34" s="65"/>
      <c r="I34" s="67"/>
      <c r="J34" s="67"/>
      <c r="K34" s="67"/>
      <c r="L34" s="69"/>
      <c r="M34" s="69"/>
      <c r="N34" s="292"/>
    </row>
    <row r="35" spans="1:14" s="40" customFormat="1" ht="19.5" customHeight="1" x14ac:dyDescent="0.3">
      <c r="A35" s="90"/>
      <c r="B35" s="118"/>
      <c r="G35" s="65"/>
      <c r="I35" s="67"/>
      <c r="J35" s="67"/>
      <c r="K35" s="67"/>
      <c r="L35" s="69"/>
      <c r="M35" s="69"/>
      <c r="N35" s="292"/>
    </row>
    <row r="36" spans="1:14" s="40" customFormat="1" ht="27" customHeight="1" x14ac:dyDescent="0.4">
      <c r="A36" s="293" t="s">
        <v>54</v>
      </c>
      <c r="B36" s="97">
        <v>50</v>
      </c>
      <c r="C36" s="65"/>
      <c r="D36" s="432" t="s">
        <v>55</v>
      </c>
      <c r="E36" s="434"/>
      <c r="F36" s="432" t="s">
        <v>56</v>
      </c>
      <c r="G36" s="433"/>
      <c r="J36" s="67"/>
      <c r="K36" s="67"/>
      <c r="L36" s="69"/>
      <c r="M36" s="69"/>
      <c r="N36" s="292"/>
    </row>
    <row r="37" spans="1:14" s="40" customFormat="1" ht="15.75" customHeight="1" x14ac:dyDescent="0.4">
      <c r="A37" s="294" t="s">
        <v>128</v>
      </c>
      <c r="B37" s="98">
        <v>4</v>
      </c>
      <c r="C37" s="72" t="s">
        <v>57</v>
      </c>
      <c r="D37" s="73" t="s">
        <v>58</v>
      </c>
      <c r="E37" s="88" t="s">
        <v>59</v>
      </c>
      <c r="F37" s="73" t="s">
        <v>58</v>
      </c>
      <c r="G37" s="74" t="s">
        <v>59</v>
      </c>
      <c r="J37" s="67"/>
      <c r="K37" s="67"/>
      <c r="L37" s="69"/>
      <c r="M37" s="69"/>
      <c r="N37" s="292"/>
    </row>
    <row r="38" spans="1:14" s="40" customFormat="1" ht="26.25" customHeight="1" x14ac:dyDescent="0.4">
      <c r="A38" s="294" t="s">
        <v>129</v>
      </c>
      <c r="B38" s="98">
        <v>20</v>
      </c>
      <c r="C38" s="295">
        <v>1</v>
      </c>
      <c r="D38" s="114">
        <v>7634985</v>
      </c>
      <c r="E38" s="296">
        <f>IF(ISBLANK(D38),"-",$D$48/$D$45*D38)</f>
        <v>7871637.9225021033</v>
      </c>
      <c r="F38" s="99">
        <v>9673668</v>
      </c>
      <c r="G38" s="297">
        <f>IF(ISBLANK(F38),"-",$D$48/$F$45*F38)</f>
        <v>8072206.7570544509</v>
      </c>
      <c r="J38" s="67"/>
      <c r="K38" s="67"/>
      <c r="L38" s="69"/>
      <c r="M38" s="69"/>
      <c r="N38" s="292"/>
    </row>
    <row r="39" spans="1:14" s="40" customFormat="1" ht="26.25" customHeight="1" x14ac:dyDescent="0.4">
      <c r="A39" s="294" t="s">
        <v>130</v>
      </c>
      <c r="B39" s="98">
        <v>1</v>
      </c>
      <c r="C39" s="91">
        <v>2</v>
      </c>
      <c r="D39" s="114">
        <v>7667532</v>
      </c>
      <c r="E39" s="298">
        <f>IF(ISBLANK(D39),"-",$D$48/$D$45*D39)</f>
        <v>7905193.7447419204</v>
      </c>
      <c r="F39" s="99">
        <v>9652197</v>
      </c>
      <c r="G39" s="299">
        <f>IF(ISBLANK(F39),"-",$D$48/$F$45*F39)</f>
        <v>8054290.2489335686</v>
      </c>
      <c r="J39" s="67"/>
      <c r="K39" s="67"/>
      <c r="L39" s="69"/>
      <c r="M39" s="69"/>
      <c r="N39" s="292"/>
    </row>
    <row r="40" spans="1:14" ht="26.25" customHeight="1" x14ac:dyDescent="0.4">
      <c r="A40" s="294" t="s">
        <v>131</v>
      </c>
      <c r="B40" s="98">
        <v>1</v>
      </c>
      <c r="C40" s="91">
        <v>3</v>
      </c>
      <c r="D40" s="114">
        <v>7678672</v>
      </c>
      <c r="E40" s="298">
        <f>IF(ISBLANK(D40),"-",$D$48/$D$45*D40)</f>
        <v>7916679.0386169804</v>
      </c>
      <c r="F40" s="99">
        <v>9656953</v>
      </c>
      <c r="G40" s="299">
        <f>IF(ISBLANK(F40),"-",$D$48/$F$45*F40)</f>
        <v>8058258.9002596792</v>
      </c>
      <c r="L40" s="69"/>
      <c r="M40" s="69"/>
      <c r="N40" s="65"/>
    </row>
    <row r="41" spans="1:14" ht="26.25" customHeight="1" x14ac:dyDescent="0.4">
      <c r="A41" s="294" t="s">
        <v>132</v>
      </c>
      <c r="B41" s="98">
        <v>1</v>
      </c>
      <c r="C41" s="300">
        <v>4</v>
      </c>
      <c r="D41" s="114"/>
      <c r="E41" s="301" t="str">
        <f>IF(ISBLANK(D41),"-",$D$48/$D$45*D41)</f>
        <v>-</v>
      </c>
      <c r="F41" s="99"/>
      <c r="G41" s="302" t="str">
        <f>IF(ISBLANK(F41),"-",$D$48/$F$45*F41)</f>
        <v>-</v>
      </c>
      <c r="L41" s="69"/>
      <c r="M41" s="69"/>
      <c r="N41" s="65"/>
    </row>
    <row r="42" spans="1:14" ht="27" customHeight="1" thickBot="1" x14ac:dyDescent="0.45">
      <c r="A42" s="294" t="s">
        <v>133</v>
      </c>
      <c r="B42" s="98">
        <v>1</v>
      </c>
      <c r="C42" s="303" t="s">
        <v>60</v>
      </c>
      <c r="D42" s="75">
        <f>AVERAGE(D38:D41)</f>
        <v>7660396.333333333</v>
      </c>
      <c r="E42" s="80">
        <f>AVERAGE(E38:E41)</f>
        <v>7897836.9019536683</v>
      </c>
      <c r="F42" s="75">
        <f>AVERAGE(F38:F41)</f>
        <v>9660939.333333334</v>
      </c>
      <c r="G42" s="76">
        <f>AVERAGE(G38:G41)</f>
        <v>8061585.3020825656</v>
      </c>
      <c r="H42" s="139"/>
    </row>
    <row r="43" spans="1:14" ht="26.25" customHeight="1" x14ac:dyDescent="0.4">
      <c r="A43" s="294" t="s">
        <v>134</v>
      </c>
      <c r="B43" s="95">
        <v>1</v>
      </c>
      <c r="C43" s="304" t="s">
        <v>61</v>
      </c>
      <c r="D43" s="103">
        <v>14.52</v>
      </c>
      <c r="E43" s="65"/>
      <c r="F43" s="103">
        <v>17.940000000000001</v>
      </c>
      <c r="H43" s="139"/>
    </row>
    <row r="44" spans="1:14" ht="26.25" customHeight="1" x14ac:dyDescent="0.4">
      <c r="A44" s="294" t="s">
        <v>135</v>
      </c>
      <c r="B44" s="95">
        <v>1</v>
      </c>
      <c r="C44" s="305" t="s">
        <v>62</v>
      </c>
      <c r="D44" s="306">
        <f>D43*$B$34</f>
        <v>14.52</v>
      </c>
      <c r="E44" s="118"/>
      <c r="F44" s="307">
        <f>F43*$B$34</f>
        <v>17.940000000000001</v>
      </c>
      <c r="H44" s="139"/>
    </row>
    <row r="45" spans="1:14" ht="19.5" customHeight="1" x14ac:dyDescent="0.3">
      <c r="A45" s="294" t="s">
        <v>63</v>
      </c>
      <c r="B45" s="118">
        <f>(B44/B43)*(B42/B41)*(B40/B39)*(B38/B37)*B36</f>
        <v>250</v>
      </c>
      <c r="C45" s="305" t="s">
        <v>64</v>
      </c>
      <c r="D45" s="308">
        <f>D44*$B$30/100</f>
        <v>14.54904</v>
      </c>
      <c r="E45" s="68"/>
      <c r="F45" s="309">
        <f>F44*$B$30/100</f>
        <v>17.975880000000004</v>
      </c>
      <c r="H45" s="139"/>
    </row>
    <row r="46" spans="1:14" ht="19.5" customHeight="1" x14ac:dyDescent="0.3">
      <c r="A46" s="435" t="s">
        <v>65</v>
      </c>
      <c r="B46" s="436"/>
      <c r="C46" s="305" t="s">
        <v>66</v>
      </c>
      <c r="D46" s="306">
        <f>D45/$B$45</f>
        <v>5.8196159999999997E-2</v>
      </c>
      <c r="E46" s="68"/>
      <c r="F46" s="310">
        <f>F45/$B$45</f>
        <v>7.1903520000000012E-2</v>
      </c>
      <c r="H46" s="139"/>
    </row>
    <row r="47" spans="1:14" ht="27" customHeight="1" x14ac:dyDescent="0.4">
      <c r="A47" s="437"/>
      <c r="B47" s="438"/>
      <c r="C47" s="305" t="s">
        <v>67</v>
      </c>
      <c r="D47" s="104">
        <v>0.06</v>
      </c>
      <c r="F47" s="311"/>
      <c r="H47" s="139"/>
    </row>
    <row r="48" spans="1:14" ht="18.75" x14ac:dyDescent="0.3">
      <c r="C48" s="305" t="s">
        <v>68</v>
      </c>
      <c r="D48" s="306">
        <f>D47*$B$45</f>
        <v>15</v>
      </c>
      <c r="F48" s="311"/>
      <c r="H48" s="139"/>
    </row>
    <row r="49" spans="1:12" ht="19.5" customHeight="1" x14ac:dyDescent="0.3">
      <c r="C49" s="312" t="s">
        <v>69</v>
      </c>
      <c r="D49" s="313">
        <f>D48/B34</f>
        <v>15</v>
      </c>
      <c r="F49" s="87"/>
      <c r="H49" s="139"/>
    </row>
    <row r="50" spans="1:12" ht="18.75" x14ac:dyDescent="0.3">
      <c r="C50" s="314" t="s">
        <v>70</v>
      </c>
      <c r="D50" s="92">
        <f>AVERAGE(E38:E41,G38:G41)</f>
        <v>7979711.1020181179</v>
      </c>
      <c r="F50" s="87"/>
      <c r="H50" s="139"/>
    </row>
    <row r="51" spans="1:12" ht="18.75" x14ac:dyDescent="0.3">
      <c r="C51" s="315" t="s">
        <v>71</v>
      </c>
      <c r="D51" s="82">
        <f>STDEV(E38:E41,G38:G41)/D50</f>
        <v>1.1416025811954087E-2</v>
      </c>
      <c r="F51" s="87"/>
    </row>
    <row r="52" spans="1:12" ht="19.5" customHeight="1" x14ac:dyDescent="0.3">
      <c r="C52" s="316" t="s">
        <v>19</v>
      </c>
      <c r="D52" s="83">
        <f>COUNT(E38:E41,G38:G41)</f>
        <v>6</v>
      </c>
      <c r="F52" s="87"/>
    </row>
    <row r="54" spans="1:12" ht="18.75" x14ac:dyDescent="0.3">
      <c r="A54" s="64" t="s">
        <v>1</v>
      </c>
      <c r="B54" s="77" t="s">
        <v>72</v>
      </c>
    </row>
    <row r="55" spans="1:12" ht="18.75" x14ac:dyDescent="0.3">
      <c r="A55" s="65" t="s">
        <v>73</v>
      </c>
      <c r="B55" s="77" t="str">
        <f>B21</f>
        <v>Each tablet contains:
Artemether 40 mg
Lumefantrine 240 mg</v>
      </c>
    </row>
    <row r="56" spans="1:12" ht="26.25" customHeight="1" x14ac:dyDescent="0.4">
      <c r="A56" s="77" t="s">
        <v>74</v>
      </c>
      <c r="B56" s="95">
        <v>240</v>
      </c>
      <c r="C56" s="65" t="str">
        <f>B20</f>
        <v xml:space="preserve">Artemether  Lumefantrine </v>
      </c>
      <c r="H56" s="118"/>
    </row>
    <row r="57" spans="1:12" ht="18.75" x14ac:dyDescent="0.3">
      <c r="A57" s="77" t="s">
        <v>75</v>
      </c>
      <c r="B57" s="112">
        <f>Uniformity!C46</f>
        <v>912.56250000000023</v>
      </c>
      <c r="H57" s="118"/>
    </row>
    <row r="58" spans="1:12" ht="19.5" customHeight="1" x14ac:dyDescent="0.3">
      <c r="H58" s="118"/>
    </row>
    <row r="59" spans="1:12" s="40" customFormat="1" ht="27" customHeight="1" thickBot="1" x14ac:dyDescent="0.45">
      <c r="A59" s="293" t="s">
        <v>76</v>
      </c>
      <c r="B59" s="97">
        <v>100</v>
      </c>
      <c r="C59" s="65"/>
      <c r="D59" s="79" t="s">
        <v>77</v>
      </c>
      <c r="E59" s="78" t="s">
        <v>78</v>
      </c>
      <c r="F59" s="78" t="s">
        <v>58</v>
      </c>
      <c r="G59" s="78" t="s">
        <v>79</v>
      </c>
      <c r="H59" s="72" t="s">
        <v>80</v>
      </c>
      <c r="L59" s="67"/>
    </row>
    <row r="60" spans="1:12" s="40" customFormat="1" ht="22.5" customHeight="1" x14ac:dyDescent="0.4">
      <c r="A60" s="294" t="s">
        <v>136</v>
      </c>
      <c r="B60" s="98">
        <v>4</v>
      </c>
      <c r="C60" s="446" t="s">
        <v>81</v>
      </c>
      <c r="D60" s="443">
        <v>111.41</v>
      </c>
      <c r="E60" s="78">
        <v>1</v>
      </c>
      <c r="F60" s="105">
        <v>7710191</v>
      </c>
      <c r="G60" s="317">
        <f>IF(ISBLANK(F60),"-",(F60/$D$50*$D$47*$B$68)*($B$57/$D$60))</f>
        <v>237.43113418260853</v>
      </c>
      <c r="H60" s="318">
        <f t="shared" ref="H60:H71" si="0">IF(ISBLANK(F60),"-",G60/$B$56)</f>
        <v>0.98929639242753553</v>
      </c>
      <c r="L60" s="67"/>
    </row>
    <row r="61" spans="1:12" s="40" customFormat="1" ht="26.25" customHeight="1" x14ac:dyDescent="0.4">
      <c r="A61" s="294" t="s">
        <v>137</v>
      </c>
      <c r="B61" s="98">
        <v>20</v>
      </c>
      <c r="C61" s="447"/>
      <c r="D61" s="444"/>
      <c r="E61" s="319">
        <v>2</v>
      </c>
      <c r="F61" s="100">
        <v>7813750</v>
      </c>
      <c r="G61" s="320">
        <f>IF(ISBLANK(F61),"-",(F61/$D$50*$D$47*$B$68)*($B$57/$D$60))</f>
        <v>240.62017720694047</v>
      </c>
      <c r="H61" s="321">
        <f t="shared" si="0"/>
        <v>1.0025840716955854</v>
      </c>
      <c r="L61" s="67"/>
    </row>
    <row r="62" spans="1:12" s="40" customFormat="1" ht="26.25" customHeight="1" x14ac:dyDescent="0.4">
      <c r="A62" s="294" t="s">
        <v>138</v>
      </c>
      <c r="B62" s="98">
        <v>1</v>
      </c>
      <c r="C62" s="447"/>
      <c r="D62" s="444"/>
      <c r="E62" s="319">
        <v>3</v>
      </c>
      <c r="F62" s="113">
        <v>7724031</v>
      </c>
      <c r="G62" s="320">
        <f>IF(ISBLANK(F62),"-",(F62/$D$50*$D$47*$B$68)*($B$57/$D$60))</f>
        <v>237.85732944769174</v>
      </c>
      <c r="H62" s="321">
        <f t="shared" si="0"/>
        <v>0.99107220603204893</v>
      </c>
      <c r="L62" s="67"/>
    </row>
    <row r="63" spans="1:12" ht="21" customHeight="1" thickBot="1" x14ac:dyDescent="0.45">
      <c r="A63" s="294" t="s">
        <v>139</v>
      </c>
      <c r="B63" s="98">
        <v>1</v>
      </c>
      <c r="C63" s="448"/>
      <c r="D63" s="445"/>
      <c r="E63" s="322">
        <v>4</v>
      </c>
      <c r="F63" s="106"/>
      <c r="G63" s="320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94" t="s">
        <v>140</v>
      </c>
      <c r="B64" s="98">
        <v>1</v>
      </c>
      <c r="C64" s="446" t="s">
        <v>82</v>
      </c>
      <c r="D64" s="443">
        <v>107.31</v>
      </c>
      <c r="E64" s="78">
        <v>1</v>
      </c>
      <c r="F64" s="105">
        <v>7463420</v>
      </c>
      <c r="G64" s="323">
        <f>IF(ISBLANK(F64),"-",(F64/$D$50*$D$47*$B$68)*($B$57/$D$64))</f>
        <v>238.61315974256632</v>
      </c>
      <c r="H64" s="324">
        <f t="shared" si="0"/>
        <v>0.99422149892735967</v>
      </c>
    </row>
    <row r="65" spans="1:8" ht="26.25" customHeight="1" x14ac:dyDescent="0.4">
      <c r="A65" s="294" t="s">
        <v>141</v>
      </c>
      <c r="B65" s="98">
        <v>1</v>
      </c>
      <c r="C65" s="447"/>
      <c r="D65" s="444"/>
      <c r="E65" s="319">
        <v>2</v>
      </c>
      <c r="F65" s="100">
        <v>7471476</v>
      </c>
      <c r="G65" s="325">
        <f>IF(ISBLANK(F65),"-",(F65/$D$50*$D$47*$B$68)*($B$57/$D$64))</f>
        <v>238.87071829010702</v>
      </c>
      <c r="H65" s="326">
        <f t="shared" si="0"/>
        <v>0.9952946595421126</v>
      </c>
    </row>
    <row r="66" spans="1:8" ht="26.25" customHeight="1" x14ac:dyDescent="0.4">
      <c r="A66" s="294" t="s">
        <v>142</v>
      </c>
      <c r="B66" s="98">
        <v>1</v>
      </c>
      <c r="C66" s="447"/>
      <c r="D66" s="444"/>
      <c r="E66" s="319">
        <v>3</v>
      </c>
      <c r="F66" s="100">
        <v>7515926</v>
      </c>
      <c r="G66" s="325">
        <f>IF(ISBLANK(F66),"-",(F66/$D$50*$D$47*$B$68)*($B$57/$D$64))</f>
        <v>240.29183018660447</v>
      </c>
      <c r="H66" s="326">
        <f t="shared" si="0"/>
        <v>1.001215959110852</v>
      </c>
    </row>
    <row r="67" spans="1:8" ht="21" customHeight="1" thickBot="1" x14ac:dyDescent="0.45">
      <c r="A67" s="294" t="s">
        <v>143</v>
      </c>
      <c r="B67" s="98">
        <v>1</v>
      </c>
      <c r="C67" s="448"/>
      <c r="D67" s="445"/>
      <c r="E67" s="322">
        <v>4</v>
      </c>
      <c r="F67" s="106"/>
      <c r="G67" s="327" t="str">
        <f>IF(ISBLANK(F67),"-",(F67/$D$50*$D$47*$B$68)*($B$57/$D$64))</f>
        <v>-</v>
      </c>
      <c r="H67" s="328" t="str">
        <f t="shared" si="0"/>
        <v>-</v>
      </c>
    </row>
    <row r="68" spans="1:8" ht="21.75" customHeight="1" x14ac:dyDescent="0.4">
      <c r="A68" s="294" t="s">
        <v>83</v>
      </c>
      <c r="B68" s="91">
        <f>(B67/B66)*(B65/B64)*(B63/B62)*(B61/B60)*B59</f>
        <v>500</v>
      </c>
      <c r="C68" s="446" t="s">
        <v>84</v>
      </c>
      <c r="D68" s="443">
        <v>116.72</v>
      </c>
      <c r="E68" s="78">
        <v>1</v>
      </c>
      <c r="F68" s="105">
        <v>7573881</v>
      </c>
      <c r="G68" s="323">
        <f>IF(ISBLANK(F68),"-",(F68/$D$50*$D$47*$B$68)*($B$57/$D$68))</f>
        <v>222.6229344411563</v>
      </c>
      <c r="H68" s="368">
        <f t="shared" si="0"/>
        <v>0.92759556017148459</v>
      </c>
    </row>
    <row r="69" spans="1:8" ht="21.75" customHeight="1" thickBot="1" x14ac:dyDescent="0.45">
      <c r="A69" s="329" t="s">
        <v>85</v>
      </c>
      <c r="B69" s="330">
        <f>D47*B68/B56*B57</f>
        <v>114.07031250000003</v>
      </c>
      <c r="C69" s="447"/>
      <c r="D69" s="444"/>
      <c r="E69" s="319">
        <v>2</v>
      </c>
      <c r="F69" s="100">
        <v>7511762</v>
      </c>
      <c r="G69" s="325">
        <f>IF(ISBLANK(F69),"-",(F69/$D$50*$D$47*$B$68)*($B$57/$D$68))</f>
        <v>220.79703909575147</v>
      </c>
      <c r="H69" s="368">
        <f t="shared" si="0"/>
        <v>0.9199876628989645</v>
      </c>
    </row>
    <row r="70" spans="1:8" ht="22.5" customHeight="1" x14ac:dyDescent="0.4">
      <c r="A70" s="439" t="s">
        <v>65</v>
      </c>
      <c r="B70" s="440"/>
      <c r="C70" s="447"/>
      <c r="D70" s="444"/>
      <c r="E70" s="319">
        <v>3</v>
      </c>
      <c r="F70" s="100">
        <v>7518754</v>
      </c>
      <c r="G70" s="325">
        <f>IF(ISBLANK(F70),"-",(F70/$D$50*$D$47*$B$68)*($B$57/$D$68))</f>
        <v>221.00255850615841</v>
      </c>
      <c r="H70" s="368">
        <f t="shared" si="0"/>
        <v>0.92084399377566006</v>
      </c>
    </row>
    <row r="71" spans="1:8" ht="21.75" customHeight="1" thickBot="1" x14ac:dyDescent="0.45">
      <c r="A71" s="441"/>
      <c r="B71" s="442"/>
      <c r="C71" s="449"/>
      <c r="D71" s="445"/>
      <c r="E71" s="322">
        <v>4</v>
      </c>
      <c r="F71" s="106"/>
      <c r="G71" s="327" t="str">
        <f>IF(ISBLANK(F71),"-",(F71/$D$50*$D$47*$B$68)*($B$57/$D$68))</f>
        <v>-</v>
      </c>
      <c r="H71" s="369" t="str">
        <f t="shared" si="0"/>
        <v>-</v>
      </c>
    </row>
    <row r="72" spans="1:8" ht="26.25" customHeight="1" x14ac:dyDescent="0.4">
      <c r="A72" s="118"/>
      <c r="B72" s="118"/>
      <c r="C72" s="118"/>
      <c r="D72" s="118"/>
      <c r="E72" s="118"/>
      <c r="F72" s="118"/>
      <c r="G72" s="331" t="s">
        <v>60</v>
      </c>
      <c r="H72" s="107">
        <f>AVERAGE(H60:H67)</f>
        <v>0.99561413128924903</v>
      </c>
    </row>
    <row r="73" spans="1:8" ht="26.25" customHeight="1" x14ac:dyDescent="0.4">
      <c r="C73" s="118"/>
      <c r="D73" s="118"/>
      <c r="E73" s="118"/>
      <c r="F73" s="118"/>
      <c r="G73" s="315" t="s">
        <v>71</v>
      </c>
      <c r="H73" s="108">
        <f>STDEV(H60:H67)/H72</f>
        <v>5.3629018589975491E-3</v>
      </c>
    </row>
    <row r="74" spans="1:8" ht="27" customHeight="1" x14ac:dyDescent="0.4">
      <c r="A74" s="118"/>
      <c r="B74" s="118"/>
      <c r="C74" s="118"/>
      <c r="D74" s="118"/>
      <c r="E74" s="68"/>
      <c r="F74" s="118"/>
      <c r="G74" s="316" t="s">
        <v>19</v>
      </c>
      <c r="H74" s="109">
        <f>COUNT(H60:H67)</f>
        <v>6</v>
      </c>
    </row>
    <row r="75" spans="1:8" ht="18.75" x14ac:dyDescent="0.3">
      <c r="A75" s="118"/>
      <c r="B75" s="118"/>
      <c r="C75" s="118"/>
      <c r="D75" s="118"/>
      <c r="E75" s="68"/>
      <c r="F75" s="118"/>
      <c r="G75" s="90"/>
      <c r="H75" s="118"/>
    </row>
    <row r="76" spans="1:8" ht="18.75" x14ac:dyDescent="0.3">
      <c r="A76" s="90" t="s">
        <v>86</v>
      </c>
      <c r="B76" s="90" t="s">
        <v>87</v>
      </c>
      <c r="C76" s="453" t="str">
        <f>B20</f>
        <v xml:space="preserve">Artemether  Lumefantrine </v>
      </c>
      <c r="D76" s="453"/>
      <c r="E76" s="65" t="s">
        <v>88</v>
      </c>
      <c r="F76" s="65"/>
      <c r="G76" s="94">
        <f>H72</f>
        <v>0.99561413128924903</v>
      </c>
      <c r="H76" s="118"/>
    </row>
    <row r="77" spans="1:8" ht="26.25" customHeight="1" x14ac:dyDescent="0.4">
      <c r="A77" s="66" t="s">
        <v>89</v>
      </c>
      <c r="B77" s="66" t="s">
        <v>90</v>
      </c>
      <c r="D77" s="111" t="s">
        <v>91</v>
      </c>
    </row>
    <row r="78" spans="1:8" ht="18.75" x14ac:dyDescent="0.3">
      <c r="A78" s="66"/>
      <c r="B78" s="66"/>
    </row>
    <row r="79" spans="1:8" ht="26.25" customHeight="1" x14ac:dyDescent="0.4">
      <c r="A79" s="90" t="s">
        <v>4</v>
      </c>
      <c r="B79" s="95" t="str">
        <f>B26</f>
        <v xml:space="preserve">Lumefantrine </v>
      </c>
      <c r="C79" s="332"/>
    </row>
    <row r="80" spans="1:8" ht="26.25" customHeight="1" x14ac:dyDescent="0.4">
      <c r="A80" s="90" t="s">
        <v>44</v>
      </c>
      <c r="B80" s="95" t="str">
        <f>B27</f>
        <v>WS/14/046</v>
      </c>
    </row>
    <row r="81" spans="1:12" ht="27" customHeight="1" x14ac:dyDescent="0.4">
      <c r="A81" s="90" t="s">
        <v>6</v>
      </c>
      <c r="B81" s="95">
        <f>B28</f>
        <v>100.2</v>
      </c>
    </row>
    <row r="82" spans="1:12" s="40" customFormat="1" ht="27" customHeight="1" x14ac:dyDescent="0.4">
      <c r="A82" s="90" t="s">
        <v>45</v>
      </c>
      <c r="B82" s="95">
        <f>B29</f>
        <v>0</v>
      </c>
      <c r="C82" s="429" t="s">
        <v>46</v>
      </c>
      <c r="D82" s="430"/>
      <c r="E82" s="430"/>
      <c r="F82" s="430"/>
      <c r="G82" s="431"/>
      <c r="I82" s="67"/>
      <c r="J82" s="67"/>
      <c r="K82" s="67"/>
      <c r="L82" s="67"/>
    </row>
    <row r="83" spans="1:12" s="40" customFormat="1" ht="18.75" x14ac:dyDescent="0.3">
      <c r="A83" s="90" t="s">
        <v>47</v>
      </c>
      <c r="B83" s="118">
        <f>B81-B82</f>
        <v>100.2</v>
      </c>
      <c r="C83" s="290"/>
      <c r="D83" s="290"/>
      <c r="E83" s="290"/>
      <c r="F83" s="290"/>
      <c r="G83" s="291"/>
      <c r="I83" s="67"/>
      <c r="J83" s="67"/>
      <c r="K83" s="67"/>
      <c r="L83" s="67"/>
    </row>
    <row r="84" spans="1:12" s="40" customFormat="1" ht="19.5" customHeight="1" x14ac:dyDescent="0.3">
      <c r="A84" s="90"/>
      <c r="B84" s="118"/>
      <c r="C84" s="290"/>
      <c r="D84" s="290"/>
      <c r="E84" s="290"/>
      <c r="F84" s="290"/>
      <c r="G84" s="291"/>
      <c r="I84" s="67"/>
      <c r="J84" s="67"/>
      <c r="K84" s="67"/>
      <c r="L84" s="67"/>
    </row>
    <row r="85" spans="1:12" s="40" customFormat="1" ht="27" customHeight="1" x14ac:dyDescent="0.4">
      <c r="A85" s="90" t="s">
        <v>48</v>
      </c>
      <c r="B85" s="96">
        <v>1</v>
      </c>
      <c r="C85" s="423" t="s">
        <v>49</v>
      </c>
      <c r="D85" s="424"/>
      <c r="E85" s="424"/>
      <c r="F85" s="424"/>
      <c r="G85" s="424"/>
      <c r="H85" s="425"/>
      <c r="I85" s="67"/>
      <c r="J85" s="67"/>
      <c r="K85" s="67"/>
      <c r="L85" s="67"/>
    </row>
    <row r="86" spans="1:12" s="40" customFormat="1" ht="27" customHeight="1" x14ac:dyDescent="0.4">
      <c r="A86" s="90" t="s">
        <v>50</v>
      </c>
      <c r="B86" s="96">
        <v>1</v>
      </c>
      <c r="C86" s="423" t="s">
        <v>51</v>
      </c>
      <c r="D86" s="424"/>
      <c r="E86" s="424"/>
      <c r="F86" s="424"/>
      <c r="G86" s="424"/>
      <c r="H86" s="425"/>
      <c r="I86" s="67"/>
      <c r="J86" s="67"/>
      <c r="K86" s="67"/>
      <c r="L86" s="67"/>
    </row>
    <row r="87" spans="1:12" s="40" customFormat="1" ht="18.75" x14ac:dyDescent="0.3">
      <c r="A87" s="90"/>
      <c r="B87" s="118"/>
      <c r="C87" s="290"/>
      <c r="D87" s="290"/>
      <c r="E87" s="290"/>
      <c r="F87" s="290"/>
      <c r="G87" s="291"/>
      <c r="I87" s="67"/>
      <c r="J87" s="67"/>
      <c r="K87" s="67"/>
      <c r="L87" s="67"/>
    </row>
    <row r="88" spans="1:12" ht="18.75" x14ac:dyDescent="0.3">
      <c r="A88" s="90" t="s">
        <v>52</v>
      </c>
      <c r="B88" s="71">
        <f>B85/B86</f>
        <v>1</v>
      </c>
      <c r="C88" s="65" t="s">
        <v>53</v>
      </c>
    </row>
    <row r="89" spans="1:12" ht="19.5" customHeight="1" x14ac:dyDescent="0.3">
      <c r="A89" s="90"/>
      <c r="B89" s="71"/>
    </row>
    <row r="90" spans="1:12" ht="27" customHeight="1" x14ac:dyDescent="0.4">
      <c r="A90" s="293" t="s">
        <v>54</v>
      </c>
      <c r="B90" s="97">
        <v>50</v>
      </c>
      <c r="D90" s="120" t="s">
        <v>55</v>
      </c>
      <c r="E90" s="121"/>
      <c r="F90" s="432" t="s">
        <v>56</v>
      </c>
      <c r="G90" s="433"/>
    </row>
    <row r="91" spans="1:12" ht="26.25" customHeight="1" x14ac:dyDescent="0.4">
      <c r="A91" s="294" t="s">
        <v>128</v>
      </c>
      <c r="B91" s="98">
        <v>5</v>
      </c>
      <c r="C91" s="119" t="s">
        <v>57</v>
      </c>
      <c r="D91" s="73" t="s">
        <v>58</v>
      </c>
      <c r="E91" s="88" t="s">
        <v>59</v>
      </c>
      <c r="F91" s="73" t="s">
        <v>58</v>
      </c>
      <c r="G91" s="74" t="s">
        <v>59</v>
      </c>
    </row>
    <row r="92" spans="1:12" ht="26.25" customHeight="1" x14ac:dyDescent="0.4">
      <c r="A92" s="294" t="s">
        <v>129</v>
      </c>
      <c r="B92" s="98">
        <v>100</v>
      </c>
      <c r="C92" s="333">
        <v>1</v>
      </c>
      <c r="D92" s="99">
        <v>0.69330000000000003</v>
      </c>
      <c r="E92" s="296">
        <f>IF(ISBLANK(D92),"-",$D$102/$D$99*D92)</f>
        <v>0.67122021115408637</v>
      </c>
      <c r="F92" s="99">
        <v>0.7298</v>
      </c>
      <c r="G92" s="297">
        <f>IF(ISBLANK(F92),"-",$D$102/$F$99*F92)</f>
        <v>0.66414283894217641</v>
      </c>
    </row>
    <row r="93" spans="1:12" ht="26.25" customHeight="1" x14ac:dyDescent="0.4">
      <c r="A93" s="294" t="s">
        <v>130</v>
      </c>
      <c r="B93" s="98">
        <v>1</v>
      </c>
      <c r="C93" s="118">
        <v>2</v>
      </c>
      <c r="D93" s="100">
        <v>0.69730000000000003</v>
      </c>
      <c r="E93" s="298">
        <f>IF(ISBLANK(D93),"-",$D$102/$D$99*D93)</f>
        <v>0.67509282163240225</v>
      </c>
      <c r="F93" s="100">
        <v>0.72430000000000005</v>
      </c>
      <c r="G93" s="299">
        <f>IF(ISBLANK(F93),"-",$D$102/$F$99*F93)</f>
        <v>0.6591376517481754</v>
      </c>
    </row>
    <row r="94" spans="1:12" ht="26.25" customHeight="1" x14ac:dyDescent="0.4">
      <c r="A94" s="294" t="s">
        <v>131</v>
      </c>
      <c r="B94" s="98">
        <v>1</v>
      </c>
      <c r="C94" s="118">
        <v>3</v>
      </c>
      <c r="D94" s="100">
        <v>0.69420000000000004</v>
      </c>
      <c r="E94" s="298">
        <f>IF(ISBLANK(D94),"-",$D$102/$D$99*D94)</f>
        <v>0.67209154851170749</v>
      </c>
      <c r="F94" s="100">
        <v>0.7248</v>
      </c>
      <c r="G94" s="299">
        <f>IF(ISBLANK(F94),"-",$D$102/$F$99*F94)</f>
        <v>0.6595926687658118</v>
      </c>
    </row>
    <row r="95" spans="1:12" ht="26.25" customHeight="1" x14ac:dyDescent="0.4">
      <c r="A95" s="294" t="s">
        <v>132</v>
      </c>
      <c r="B95" s="98">
        <v>1</v>
      </c>
      <c r="C95" s="334">
        <v>4</v>
      </c>
      <c r="D95" s="101"/>
      <c r="E95" s="301" t="str">
        <f>IF(ISBLANK(D95),"-",$D$102/$D$99*D95)</f>
        <v>-</v>
      </c>
      <c r="F95" s="110"/>
      <c r="G95" s="302" t="str">
        <f>IF(ISBLANK(F95),"-",$D$102/$F$99*F95)</f>
        <v>-</v>
      </c>
    </row>
    <row r="96" spans="1:12" ht="27" customHeight="1" x14ac:dyDescent="0.4">
      <c r="A96" s="294" t="s">
        <v>133</v>
      </c>
      <c r="B96" s="98">
        <v>1</v>
      </c>
      <c r="C96" s="90" t="s">
        <v>60</v>
      </c>
      <c r="D96" s="370">
        <f>AVERAGE(D92:D95)</f>
        <v>0.69493333333333329</v>
      </c>
      <c r="E96" s="371">
        <f>AVERAGE(E92:E95)</f>
        <v>0.67280152709939867</v>
      </c>
      <c r="F96" s="372">
        <f>AVERAGE(F92:F95)</f>
        <v>0.72630000000000006</v>
      </c>
      <c r="G96" s="373">
        <f>AVERAGE(G92:G95)</f>
        <v>0.6609577198187212</v>
      </c>
    </row>
    <row r="97" spans="1:10" ht="26.25" customHeight="1" x14ac:dyDescent="0.4">
      <c r="A97" s="294" t="s">
        <v>134</v>
      </c>
      <c r="B97" s="95">
        <v>1</v>
      </c>
      <c r="C97" s="304" t="s">
        <v>61</v>
      </c>
      <c r="D97" s="102">
        <v>24.74</v>
      </c>
      <c r="E97" s="65"/>
      <c r="F97" s="103">
        <v>26.32</v>
      </c>
    </row>
    <row r="98" spans="1:10" ht="26.25" customHeight="1" x14ac:dyDescent="0.4">
      <c r="A98" s="294" t="s">
        <v>135</v>
      </c>
      <c r="B98" s="95">
        <v>1</v>
      </c>
      <c r="C98" s="305" t="s">
        <v>62</v>
      </c>
      <c r="D98" s="306">
        <f>D97*$B$88</f>
        <v>24.74</v>
      </c>
      <c r="E98" s="118"/>
      <c r="F98" s="307">
        <f>F97*$B$88</f>
        <v>26.32</v>
      </c>
    </row>
    <row r="99" spans="1:10" ht="19.5" customHeight="1" x14ac:dyDescent="0.3">
      <c r="A99" s="294" t="s">
        <v>63</v>
      </c>
      <c r="B99" s="118">
        <f>(B98/B97)*(B96/B95)*(B94/B93)*(B92/B91)*B90</f>
        <v>1000</v>
      </c>
      <c r="C99" s="305" t="s">
        <v>64</v>
      </c>
      <c r="D99" s="308">
        <f>D98*$B$83/100</f>
        <v>24.789479999999998</v>
      </c>
      <c r="E99" s="68"/>
      <c r="F99" s="309">
        <f>F98*$B$83/100</f>
        <v>26.372640000000001</v>
      </c>
    </row>
    <row r="100" spans="1:10" ht="19.5" customHeight="1" x14ac:dyDescent="0.3">
      <c r="A100" s="435" t="s">
        <v>65</v>
      </c>
      <c r="B100" s="436"/>
      <c r="C100" s="305" t="s">
        <v>66</v>
      </c>
      <c r="D100" s="335">
        <f>D99/$B$99</f>
        <v>2.4789479999999999E-2</v>
      </c>
      <c r="E100" s="68"/>
      <c r="F100" s="336">
        <f>F99/$B$99</f>
        <v>2.6372639999999999E-2</v>
      </c>
      <c r="H100" s="139"/>
    </row>
    <row r="101" spans="1:10" ht="19.5" customHeight="1" x14ac:dyDescent="0.3">
      <c r="A101" s="437"/>
      <c r="B101" s="438"/>
      <c r="C101" s="305" t="s">
        <v>67</v>
      </c>
      <c r="D101" s="337">
        <f>$B$56/$B$117</f>
        <v>2.4E-2</v>
      </c>
      <c r="F101" s="311"/>
      <c r="G101" s="338"/>
      <c r="H101" s="139"/>
    </row>
    <row r="102" spans="1:10" ht="18.75" x14ac:dyDescent="0.3">
      <c r="C102" s="305" t="s">
        <v>68</v>
      </c>
      <c r="D102" s="306">
        <f>D101*$B$99</f>
        <v>24</v>
      </c>
      <c r="F102" s="311"/>
      <c r="H102" s="139"/>
    </row>
    <row r="103" spans="1:10" ht="19.5" customHeight="1" x14ac:dyDescent="0.3">
      <c r="C103" s="312" t="s">
        <v>69</v>
      </c>
      <c r="D103" s="313">
        <f>D102/B34</f>
        <v>24</v>
      </c>
      <c r="F103" s="87"/>
      <c r="H103" s="139"/>
      <c r="J103" s="81"/>
    </row>
    <row r="104" spans="1:10" ht="18.75" x14ac:dyDescent="0.3">
      <c r="C104" s="314" t="s">
        <v>70</v>
      </c>
      <c r="D104" s="92">
        <f>AVERAGE(E92:E95,G92:G95)</f>
        <v>0.66687962345906004</v>
      </c>
      <c r="F104" s="87"/>
      <c r="G104" s="338"/>
      <c r="H104" s="139"/>
      <c r="J104" s="339"/>
    </row>
    <row r="105" spans="1:10" ht="18.75" x14ac:dyDescent="0.3">
      <c r="C105" s="315" t="s">
        <v>71</v>
      </c>
      <c r="D105" s="82">
        <f>STDEV(E92:E95,G92:G95)/D104</f>
        <v>1.0258067700710903E-2</v>
      </c>
      <c r="F105" s="87"/>
      <c r="H105" s="139"/>
      <c r="J105" s="339"/>
    </row>
    <row r="106" spans="1:10" ht="19.5" customHeight="1" x14ac:dyDescent="0.3">
      <c r="C106" s="316" t="s">
        <v>19</v>
      </c>
      <c r="D106" s="83">
        <f>COUNT(E92:E95,G92:G95)</f>
        <v>6</v>
      </c>
      <c r="F106" s="87"/>
      <c r="H106" s="139"/>
      <c r="J106" s="339"/>
    </row>
    <row r="107" spans="1:10" ht="19.5" customHeight="1" x14ac:dyDescent="0.3">
      <c r="A107" s="64"/>
      <c r="B107" s="64"/>
      <c r="C107" s="64"/>
      <c r="D107" s="64"/>
      <c r="E107" s="64"/>
    </row>
    <row r="108" spans="1:10" ht="26.25" customHeight="1" x14ac:dyDescent="0.4">
      <c r="A108" s="293" t="s">
        <v>92</v>
      </c>
      <c r="B108" s="97">
        <v>1000</v>
      </c>
      <c r="C108" s="120" t="s">
        <v>93</v>
      </c>
      <c r="D108" s="84" t="s">
        <v>58</v>
      </c>
      <c r="E108" s="85" t="s">
        <v>94</v>
      </c>
      <c r="F108" s="86" t="s">
        <v>95</v>
      </c>
    </row>
    <row r="109" spans="1:10" ht="26.25" customHeight="1" x14ac:dyDescent="0.4">
      <c r="A109" s="294" t="s">
        <v>136</v>
      </c>
      <c r="B109" s="98">
        <v>10</v>
      </c>
      <c r="C109" s="340">
        <v>1</v>
      </c>
      <c r="D109" s="116">
        <v>0.56620000000000004</v>
      </c>
      <c r="E109" s="341">
        <f t="shared" ref="E109:E114" si="1">IF(ISBLANK(D109),"-",D109/$D$104*$D$101*$B$117)</f>
        <v>203.76690967877838</v>
      </c>
      <c r="F109" s="342">
        <f t="shared" ref="F109:F114" si="2">IF(ISBLANK(D109), "-", E109/$B$56)</f>
        <v>0.84902879032824319</v>
      </c>
    </row>
    <row r="110" spans="1:10" ht="26.25" customHeight="1" x14ac:dyDescent="0.4">
      <c r="A110" s="294" t="s">
        <v>137</v>
      </c>
      <c r="B110" s="98">
        <v>100</v>
      </c>
      <c r="C110" s="340">
        <v>2</v>
      </c>
      <c r="D110" s="116">
        <v>0.5595</v>
      </c>
      <c r="E110" s="343">
        <f t="shared" si="1"/>
        <v>201.35567991041415</v>
      </c>
      <c r="F110" s="344">
        <f t="shared" si="2"/>
        <v>0.83898199962672559</v>
      </c>
    </row>
    <row r="111" spans="1:10" ht="26.25" customHeight="1" x14ac:dyDescent="0.4">
      <c r="A111" s="294" t="s">
        <v>138</v>
      </c>
      <c r="B111" s="98">
        <v>1</v>
      </c>
      <c r="C111" s="340">
        <v>3</v>
      </c>
      <c r="D111" s="116">
        <v>0.50380000000000003</v>
      </c>
      <c r="E111" s="343">
        <f t="shared" si="1"/>
        <v>181.31008317938631</v>
      </c>
      <c r="F111" s="344">
        <f t="shared" si="2"/>
        <v>0.75545867991410964</v>
      </c>
    </row>
    <row r="112" spans="1:10" ht="26.25" customHeight="1" x14ac:dyDescent="0.4">
      <c r="A112" s="294" t="s">
        <v>139</v>
      </c>
      <c r="B112" s="98">
        <v>1</v>
      </c>
      <c r="C112" s="340">
        <v>4</v>
      </c>
      <c r="D112" s="116">
        <v>0.5444</v>
      </c>
      <c r="E112" s="343">
        <f t="shared" si="1"/>
        <v>195.92141580559331</v>
      </c>
      <c r="F112" s="344">
        <f t="shared" si="2"/>
        <v>0.81633923252330542</v>
      </c>
    </row>
    <row r="113" spans="1:10" ht="26.25" customHeight="1" x14ac:dyDescent="0.4">
      <c r="A113" s="294" t="s">
        <v>140</v>
      </c>
      <c r="B113" s="98">
        <v>1</v>
      </c>
      <c r="C113" s="340">
        <v>5</v>
      </c>
      <c r="D113" s="116">
        <v>0.54820000000000002</v>
      </c>
      <c r="E113" s="343">
        <f t="shared" si="1"/>
        <v>197.28897895779988</v>
      </c>
      <c r="F113" s="344">
        <f t="shared" si="2"/>
        <v>0.82203741232416616</v>
      </c>
    </row>
    <row r="114" spans="1:10" ht="26.25" customHeight="1" x14ac:dyDescent="0.4">
      <c r="A114" s="294" t="s">
        <v>141</v>
      </c>
      <c r="B114" s="98">
        <v>1</v>
      </c>
      <c r="C114" s="345">
        <v>6</v>
      </c>
      <c r="D114" s="117">
        <v>0.51649999999999996</v>
      </c>
      <c r="E114" s="346">
        <f t="shared" si="1"/>
        <v>185.88062318807667</v>
      </c>
      <c r="F114" s="347">
        <f t="shared" si="2"/>
        <v>0.77450259661698617</v>
      </c>
    </row>
    <row r="115" spans="1:10" ht="26.25" customHeight="1" x14ac:dyDescent="0.4">
      <c r="A115" s="294" t="s">
        <v>142</v>
      </c>
      <c r="B115" s="98">
        <v>1</v>
      </c>
      <c r="C115" s="340"/>
      <c r="D115" s="118"/>
      <c r="E115" s="65"/>
      <c r="F115" s="348"/>
    </row>
    <row r="116" spans="1:10" ht="26.25" customHeight="1" x14ac:dyDescent="0.4">
      <c r="A116" s="294" t="s">
        <v>143</v>
      </c>
      <c r="B116" s="98">
        <v>1</v>
      </c>
      <c r="C116" s="340"/>
      <c r="D116" s="87"/>
      <c r="E116" s="349" t="s">
        <v>60</v>
      </c>
      <c r="F116" s="62">
        <f>AVERAGE(F109:F114)</f>
        <v>0.80939145188892259</v>
      </c>
    </row>
    <row r="117" spans="1:10" ht="19.5" customHeight="1" x14ac:dyDescent="0.3">
      <c r="A117" s="294" t="s">
        <v>83</v>
      </c>
      <c r="B117" s="91">
        <f>(B116/B115)*(B114/B113)*(B112/B111)*(B110/B109)*B108</f>
        <v>10000</v>
      </c>
      <c r="C117" s="350"/>
      <c r="D117" s="351"/>
      <c r="E117" s="90" t="s">
        <v>71</v>
      </c>
      <c r="F117" s="63">
        <f>STDEV(F109:F114)/F116</f>
        <v>4.549876875905081E-2</v>
      </c>
      <c r="I117" s="65"/>
    </row>
    <row r="118" spans="1:10" ht="19.5" customHeight="1" x14ac:dyDescent="0.3">
      <c r="A118" s="435" t="s">
        <v>65</v>
      </c>
      <c r="B118" s="450"/>
      <c r="C118" s="352"/>
      <c r="D118" s="353"/>
      <c r="E118" s="354" t="s">
        <v>19</v>
      </c>
      <c r="F118" s="83">
        <f>COUNT(F109:F114)</f>
        <v>6</v>
      </c>
      <c r="I118" s="65"/>
      <c r="J118" s="339"/>
    </row>
    <row r="119" spans="1:10" ht="19.5" customHeight="1" x14ac:dyDescent="0.3">
      <c r="A119" s="437"/>
      <c r="B119" s="451"/>
      <c r="C119" s="65"/>
      <c r="D119" s="65"/>
      <c r="E119" s="65"/>
      <c r="F119" s="118"/>
      <c r="G119" s="65"/>
      <c r="H119" s="65"/>
      <c r="I119" s="65"/>
    </row>
    <row r="120" spans="1:10" ht="18.75" x14ac:dyDescent="0.3">
      <c r="A120" s="70"/>
      <c r="B120" s="70"/>
      <c r="C120" s="65"/>
      <c r="D120" s="65"/>
      <c r="E120" s="65"/>
      <c r="F120" s="118"/>
      <c r="G120" s="65"/>
      <c r="H120" s="65"/>
      <c r="I120" s="65"/>
    </row>
    <row r="121" spans="1:10" ht="18.75" x14ac:dyDescent="0.3">
      <c r="A121" s="90" t="s">
        <v>86</v>
      </c>
      <c r="B121" s="90" t="s">
        <v>87</v>
      </c>
      <c r="C121" s="453" t="str">
        <f>B20</f>
        <v xml:space="preserve">Artemether  Lumefantrine </v>
      </c>
      <c r="D121" s="453"/>
      <c r="E121" s="65" t="s">
        <v>96</v>
      </c>
      <c r="F121" s="65"/>
      <c r="G121" s="94">
        <f>F116</f>
        <v>0.80939145188892259</v>
      </c>
      <c r="H121" s="65"/>
      <c r="I121" s="65"/>
    </row>
    <row r="122" spans="1:10" ht="19.5" thickBot="1" x14ac:dyDescent="0.35">
      <c r="A122" s="70"/>
      <c r="B122" s="70"/>
      <c r="C122" s="65"/>
      <c r="D122" s="65"/>
      <c r="E122" s="65"/>
      <c r="F122" s="118"/>
      <c r="G122" s="65"/>
      <c r="H122" s="65"/>
      <c r="I122" s="65"/>
    </row>
    <row r="123" spans="1:10" ht="18.75" x14ac:dyDescent="0.3">
      <c r="B123" s="452" t="s">
        <v>22</v>
      </c>
      <c r="C123" s="452"/>
      <c r="E123" s="119" t="s">
        <v>23</v>
      </c>
      <c r="F123" s="119"/>
      <c r="G123" s="452" t="s">
        <v>24</v>
      </c>
      <c r="H123" s="452"/>
    </row>
    <row r="124" spans="1:10" ht="49.5" customHeight="1" x14ac:dyDescent="0.3">
      <c r="A124" s="90" t="s">
        <v>25</v>
      </c>
      <c r="B124" s="355"/>
      <c r="C124" s="355" t="s">
        <v>108</v>
      </c>
      <c r="E124" s="356"/>
      <c r="F124" s="65"/>
      <c r="G124" s="356"/>
      <c r="H124" s="356"/>
    </row>
    <row r="125" spans="1:10" ht="47.25" customHeight="1" x14ac:dyDescent="0.3">
      <c r="A125" s="90" t="s">
        <v>26</v>
      </c>
      <c r="B125" s="93"/>
      <c r="C125" s="93"/>
      <c r="E125" s="89"/>
      <c r="F125" s="65"/>
      <c r="G125" s="89"/>
      <c r="H125" s="89"/>
    </row>
    <row r="126" spans="1:10" ht="18.75" x14ac:dyDescent="0.3">
      <c r="A126" s="118"/>
      <c r="B126" s="118"/>
      <c r="C126" s="118"/>
      <c r="D126" s="118"/>
      <c r="E126" s="118"/>
      <c r="F126" s="68"/>
      <c r="G126" s="118"/>
      <c r="H126" s="118"/>
      <c r="I126" s="65"/>
    </row>
    <row r="127" spans="1:10" ht="18.75" x14ac:dyDescent="0.3">
      <c r="A127" s="118"/>
      <c r="B127" s="118"/>
      <c r="C127" s="118"/>
      <c r="D127" s="118"/>
      <c r="E127" s="118"/>
      <c r="F127" s="68"/>
      <c r="G127" s="118"/>
      <c r="H127" s="118"/>
      <c r="I127" s="65"/>
    </row>
    <row r="128" spans="1:10" ht="18.75" x14ac:dyDescent="0.3">
      <c r="A128" s="118"/>
      <c r="B128" s="118"/>
      <c r="C128" s="118"/>
      <c r="D128" s="118"/>
      <c r="E128" s="118"/>
      <c r="F128" s="68"/>
      <c r="G128" s="118"/>
      <c r="H128" s="118"/>
      <c r="I128" s="65"/>
    </row>
    <row r="129" spans="1:9" ht="18.75" x14ac:dyDescent="0.3">
      <c r="A129" s="118"/>
      <c r="B129" s="118"/>
      <c r="C129" s="118"/>
      <c r="D129" s="118"/>
      <c r="E129" s="118"/>
      <c r="F129" s="68"/>
      <c r="G129" s="118"/>
      <c r="H129" s="118"/>
      <c r="I129" s="65"/>
    </row>
    <row r="130" spans="1:9" ht="18.75" x14ac:dyDescent="0.3">
      <c r="A130" s="118"/>
      <c r="B130" s="118"/>
      <c r="C130" s="118"/>
      <c r="D130" s="118"/>
      <c r="E130" s="118"/>
      <c r="F130" s="68"/>
      <c r="G130" s="118"/>
      <c r="H130" s="118"/>
      <c r="I130" s="65"/>
    </row>
    <row r="131" spans="1:9" ht="18.75" x14ac:dyDescent="0.3">
      <c r="A131" s="118"/>
      <c r="B131" s="118"/>
      <c r="C131" s="118"/>
      <c r="D131" s="118"/>
      <c r="E131" s="118"/>
      <c r="F131" s="68"/>
      <c r="G131" s="118"/>
      <c r="H131" s="118"/>
      <c r="I131" s="65"/>
    </row>
    <row r="132" spans="1:9" ht="18.75" x14ac:dyDescent="0.3">
      <c r="A132" s="118"/>
      <c r="B132" s="118"/>
      <c r="C132" s="118"/>
      <c r="D132" s="118"/>
      <c r="E132" s="118"/>
      <c r="F132" s="68"/>
      <c r="G132" s="118"/>
      <c r="H132" s="118"/>
      <c r="I132" s="65"/>
    </row>
    <row r="133" spans="1:9" ht="18.75" x14ac:dyDescent="0.3">
      <c r="A133" s="118"/>
      <c r="B133" s="118"/>
      <c r="C133" s="118"/>
      <c r="D133" s="118"/>
      <c r="E133" s="118"/>
      <c r="F133" s="68"/>
      <c r="G133" s="118"/>
      <c r="H133" s="118"/>
      <c r="I133" s="65"/>
    </row>
    <row r="134" spans="1:9" ht="18.75" x14ac:dyDescent="0.3">
      <c r="A134" s="118"/>
      <c r="B134" s="118"/>
      <c r="C134" s="118"/>
      <c r="D134" s="118"/>
      <c r="E134" s="118"/>
      <c r="F134" s="68"/>
      <c r="G134" s="118"/>
      <c r="H134" s="118"/>
      <c r="I134" s="65"/>
    </row>
    <row r="197" spans="1:1" x14ac:dyDescent="0.3">
      <c r="A197" s="1">
        <v>0</v>
      </c>
    </row>
  </sheetData>
  <sheetProtection formatCells="0" formatColumns="0" formatRows="0" insertColumns="0" insertRows="0" insertHyperlinks="0" deleteColumns="0" deleteRows="0" sort="0" autoFilter="0" pivotTables="0"/>
  <mergeCells count="29">
    <mergeCell ref="F90:G90"/>
    <mergeCell ref="C68:C71"/>
    <mergeCell ref="A100:B101"/>
    <mergeCell ref="A118:B119"/>
    <mergeCell ref="B123:C123"/>
    <mergeCell ref="G123:H123"/>
    <mergeCell ref="C121:D121"/>
    <mergeCell ref="C76:D76"/>
    <mergeCell ref="D60:D63"/>
    <mergeCell ref="C60:C63"/>
    <mergeCell ref="C64:C67"/>
    <mergeCell ref="D68:D71"/>
    <mergeCell ref="D64:D67"/>
    <mergeCell ref="A1:H7"/>
    <mergeCell ref="A8:H14"/>
    <mergeCell ref="A16:H16"/>
    <mergeCell ref="C85:H85"/>
    <mergeCell ref="C86:H86"/>
    <mergeCell ref="B18:C18"/>
    <mergeCell ref="B26:C26"/>
    <mergeCell ref="B27:C27"/>
    <mergeCell ref="C29:G29"/>
    <mergeCell ref="F36:G36"/>
    <mergeCell ref="C31:H31"/>
    <mergeCell ref="C32:H32"/>
    <mergeCell ref="D36:E36"/>
    <mergeCell ref="A46:B47"/>
    <mergeCell ref="C82:G82"/>
    <mergeCell ref="A70:B71"/>
  </mergeCells>
  <printOptions horizontalCentered="1" verticalCentered="1"/>
  <pageMargins left="0.7" right="0.7" top="0.75" bottom="0.75" header="0.3" footer="0.3"/>
  <pageSetup paperSize="9" scale="25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ARTEMETHER </vt:lpstr>
      <vt:lpstr>LUMEFANTRINE</vt:lpstr>
      <vt:lpstr>'ARTEMETHER '!Print_Area</vt:lpstr>
      <vt:lpstr>LUMEFANTRINE!Print_Area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2015-12-23T07:49:30Z</cp:lastPrinted>
  <dcterms:created xsi:type="dcterms:W3CDTF">2005-07-05T10:19:27Z</dcterms:created>
  <dcterms:modified xsi:type="dcterms:W3CDTF">2015-12-23T10:30:01Z</dcterms:modified>
  <cp:category/>
</cp:coreProperties>
</file>