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510" yWindow="555" windowWidth="15015" windowHeight="7620" activeTab="3"/>
  </bookViews>
  <sheets>
    <sheet name="SST" sheetId="1" r:id="rId1"/>
    <sheet name="Uniformity" sheetId="2" r:id="rId2"/>
    <sheet name="ARTEMETHER " sheetId="5" r:id="rId3"/>
    <sheet name="LUMEFANTRINE" sheetId="4" r:id="rId4"/>
  </sheets>
  <definedNames>
    <definedName name="_xlnm.Print_Area" localSheetId="2">'ARTEMETHER '!$A$1:$I$147</definedName>
    <definedName name="_xlnm.Print_Area" localSheetId="3">LUMEFANTRINE!$A$1:$I$129</definedName>
    <definedName name="_xlnm.Print_Area" localSheetId="1">Uniformity!$A$1:$F$56</definedName>
  </definedNames>
  <calcPr calcId="144525"/>
</workbook>
</file>

<file path=xl/calcChain.xml><?xml version="1.0" encoding="utf-8"?>
<calcChain xmlns="http://schemas.openxmlformats.org/spreadsheetml/2006/main">
  <c r="C19" i="2" l="1"/>
  <c r="C18" i="2"/>
  <c r="F42" i="5" l="1"/>
  <c r="D42" i="5"/>
  <c r="B41" i="1" l="1"/>
  <c r="B18" i="1"/>
  <c r="B20" i="1"/>
  <c r="B19" i="1"/>
  <c r="B17" i="1"/>
  <c r="B39" i="1" s="1"/>
  <c r="F96" i="5" l="1"/>
  <c r="D96" i="5"/>
  <c r="G95" i="5"/>
  <c r="E95" i="5"/>
  <c r="B99" i="5" l="1"/>
  <c r="C138" i="5"/>
  <c r="B134" i="5"/>
  <c r="C121" i="5"/>
  <c r="B117" i="5"/>
  <c r="D101" i="5" s="1"/>
  <c r="B88" i="5"/>
  <c r="F98" i="5" s="1"/>
  <c r="B83" i="5"/>
  <c r="B82" i="5"/>
  <c r="B81" i="5"/>
  <c r="B80" i="5"/>
  <c r="C76" i="5"/>
  <c r="H71" i="5"/>
  <c r="G71" i="5"/>
  <c r="B68" i="5"/>
  <c r="H67" i="5"/>
  <c r="G67" i="5"/>
  <c r="H63" i="5"/>
  <c r="G63" i="5"/>
  <c r="C56" i="5"/>
  <c r="B55" i="5"/>
  <c r="B45" i="5"/>
  <c r="D48" i="5" s="1"/>
  <c r="B34" i="5"/>
  <c r="F44" i="5" s="1"/>
  <c r="B30" i="5"/>
  <c r="C122" i="4"/>
  <c r="B118" i="4"/>
  <c r="D102" i="4" s="1"/>
  <c r="B100" i="4"/>
  <c r="F97" i="4"/>
  <c r="D97" i="4"/>
  <c r="G96" i="4"/>
  <c r="E96" i="4"/>
  <c r="B89" i="4"/>
  <c r="D99" i="4" s="1"/>
  <c r="B83" i="4"/>
  <c r="B82" i="4"/>
  <c r="B81" i="4"/>
  <c r="B80" i="4"/>
  <c r="C76" i="4"/>
  <c r="H71" i="4"/>
  <c r="G71" i="4"/>
  <c r="B68" i="4"/>
  <c r="H67" i="4"/>
  <c r="G67" i="4"/>
  <c r="H63" i="4"/>
  <c r="G63" i="4"/>
  <c r="C56" i="4"/>
  <c r="B55" i="4"/>
  <c r="B45" i="4"/>
  <c r="D48" i="4" s="1"/>
  <c r="F42" i="4"/>
  <c r="D42" i="4"/>
  <c r="G41" i="4"/>
  <c r="E41" i="4"/>
  <c r="B34" i="4"/>
  <c r="D44" i="4" s="1"/>
  <c r="B30" i="4"/>
  <c r="C46" i="2"/>
  <c r="D38" i="2" s="1"/>
  <c r="C45" i="2"/>
  <c r="D2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37" i="2" l="1"/>
  <c r="D24" i="2"/>
  <c r="D32" i="2"/>
  <c r="D40" i="2"/>
  <c r="D49" i="2"/>
  <c r="D44" i="5"/>
  <c r="D25" i="2"/>
  <c r="D33" i="2"/>
  <c r="D41" i="2"/>
  <c r="D49" i="5"/>
  <c r="D98" i="5"/>
  <c r="D28" i="2"/>
  <c r="D36" i="2"/>
  <c r="B84" i="5"/>
  <c r="B40" i="1"/>
  <c r="F44" i="4"/>
  <c r="D103" i="4"/>
  <c r="B84" i="4"/>
  <c r="D100" i="4" s="1"/>
  <c r="D45" i="4"/>
  <c r="D46" i="4" s="1"/>
  <c r="D102" i="5"/>
  <c r="F99" i="5"/>
  <c r="F45" i="5"/>
  <c r="D99" i="5"/>
  <c r="D45" i="5"/>
  <c r="D49" i="4"/>
  <c r="E38" i="4"/>
  <c r="E39" i="4"/>
  <c r="D104" i="4"/>
  <c r="D26" i="2"/>
  <c r="D30" i="2"/>
  <c r="D34" i="2"/>
  <c r="D42" i="2"/>
  <c r="B49" i="2"/>
  <c r="D50" i="2"/>
  <c r="D27" i="2"/>
  <c r="D31" i="2"/>
  <c r="D35" i="2"/>
  <c r="D39" i="2"/>
  <c r="D43" i="2"/>
  <c r="C49" i="2"/>
  <c r="B57" i="4"/>
  <c r="B69" i="4" s="1"/>
  <c r="F45" i="4"/>
  <c r="F46" i="4" s="1"/>
  <c r="B57" i="5"/>
  <c r="B69" i="5" s="1"/>
  <c r="C50" i="2"/>
  <c r="F99" i="4"/>
  <c r="E40" i="5" l="1"/>
  <c r="E38" i="5"/>
  <c r="E41" i="5"/>
  <c r="E39" i="5"/>
  <c r="G40" i="5"/>
  <c r="G38" i="5"/>
  <c r="G41" i="5"/>
  <c r="G39" i="5"/>
  <c r="G93" i="5"/>
  <c r="G94" i="5"/>
  <c r="G92" i="5"/>
  <c r="E93" i="5"/>
  <c r="E94" i="5"/>
  <c r="E92" i="5"/>
  <c r="D46" i="5"/>
  <c r="B21" i="1" s="1"/>
  <c r="F46" i="5"/>
  <c r="D101" i="4"/>
  <c r="E95" i="4"/>
  <c r="E93" i="4"/>
  <c r="F100" i="4"/>
  <c r="G40" i="4"/>
  <c r="E40" i="4"/>
  <c r="E42" i="4" s="1"/>
  <c r="D100" i="5"/>
  <c r="B42" i="1" s="1"/>
  <c r="F100" i="5"/>
  <c r="D103" i="5"/>
  <c r="E94" i="4"/>
  <c r="G38" i="4"/>
  <c r="G39" i="4"/>
  <c r="D52" i="4" l="1"/>
  <c r="E42" i="5"/>
  <c r="G42" i="5"/>
  <c r="G96" i="5"/>
  <c r="E96" i="5"/>
  <c r="D52" i="5"/>
  <c r="E97" i="4"/>
  <c r="D50" i="4"/>
  <c r="G61" i="4" s="1"/>
  <c r="H61" i="4" s="1"/>
  <c r="G42" i="4"/>
  <c r="F101" i="4"/>
  <c r="G94" i="4"/>
  <c r="G93" i="4"/>
  <c r="G95" i="4"/>
  <c r="D106" i="5"/>
  <c r="D104" i="5"/>
  <c r="E131" i="5" s="1"/>
  <c r="F131" i="5" s="1"/>
  <c r="D50" i="5"/>
  <c r="G69" i="5" s="1"/>
  <c r="H69" i="5" s="1"/>
  <c r="G66" i="4"/>
  <c r="H66" i="4" s="1"/>
  <c r="G69" i="4"/>
  <c r="H69" i="4" s="1"/>
  <c r="G64" i="4"/>
  <c r="H64" i="4" s="1"/>
  <c r="G68" i="5" l="1"/>
  <c r="H68" i="5" s="1"/>
  <c r="G70" i="5"/>
  <c r="H70" i="5" s="1"/>
  <c r="G61" i="5"/>
  <c r="H61" i="5" s="1"/>
  <c r="G64" i="5"/>
  <c r="H64" i="5" s="1"/>
  <c r="G62" i="5"/>
  <c r="H62" i="5" s="1"/>
  <c r="G65" i="5"/>
  <c r="H65" i="5" s="1"/>
  <c r="G66" i="5"/>
  <c r="H66" i="5" s="1"/>
  <c r="D51" i="4"/>
  <c r="G60" i="4"/>
  <c r="H60" i="4" s="1"/>
  <c r="G68" i="4"/>
  <c r="H68" i="4" s="1"/>
  <c r="G62" i="4"/>
  <c r="H62" i="4" s="1"/>
  <c r="G70" i="4"/>
  <c r="H70" i="4" s="1"/>
  <c r="G65" i="4"/>
  <c r="H65" i="4" s="1"/>
  <c r="G97" i="4"/>
  <c r="D107" i="4"/>
  <c r="D105" i="4"/>
  <c r="E127" i="5"/>
  <c r="F127" i="5" s="1"/>
  <c r="E126" i="5"/>
  <c r="F126" i="5" s="1"/>
  <c r="E111" i="5"/>
  <c r="F111" i="5" s="1"/>
  <c r="D105" i="5"/>
  <c r="E130" i="5"/>
  <c r="F130" i="5" s="1"/>
  <c r="E109" i="5"/>
  <c r="F109" i="5" s="1"/>
  <c r="E113" i="5"/>
  <c r="F113" i="5" s="1"/>
  <c r="E110" i="5"/>
  <c r="F110" i="5" s="1"/>
  <c r="E114" i="5"/>
  <c r="F114" i="5" s="1"/>
  <c r="E128" i="5"/>
  <c r="F128" i="5" s="1"/>
  <c r="E129" i="5"/>
  <c r="F129" i="5" s="1"/>
  <c r="E112" i="5"/>
  <c r="F112" i="5" s="1"/>
  <c r="D51" i="5"/>
  <c r="G60" i="5"/>
  <c r="H60" i="5" s="1"/>
  <c r="H74" i="5" l="1"/>
  <c r="H72" i="5"/>
  <c r="G76" i="5" s="1"/>
  <c r="H72" i="4"/>
  <c r="H73" i="4" s="1"/>
  <c r="H74" i="4"/>
  <c r="E115" i="4"/>
  <c r="F115" i="4" s="1"/>
  <c r="E113" i="4"/>
  <c r="F113" i="4" s="1"/>
  <c r="E114" i="4"/>
  <c r="F114" i="4" s="1"/>
  <c r="E110" i="4"/>
  <c r="F110" i="4" s="1"/>
  <c r="D106" i="4"/>
  <c r="E112" i="4"/>
  <c r="F112" i="4" s="1"/>
  <c r="E111" i="4"/>
  <c r="F111" i="4" s="1"/>
  <c r="F133" i="5"/>
  <c r="F134" i="5" s="1"/>
  <c r="F118" i="5"/>
  <c r="F135" i="5"/>
  <c r="F116" i="5"/>
  <c r="G121" i="5" s="1"/>
  <c r="H73" i="5"/>
  <c r="G76" i="4" l="1"/>
  <c r="F117" i="4"/>
  <c r="G122" i="4" s="1"/>
  <c r="F119" i="4"/>
  <c r="F117" i="5"/>
  <c r="G138" i="5"/>
  <c r="F118" i="4" l="1"/>
</calcChain>
</file>

<file path=xl/sharedStrings.xml><?xml version="1.0" encoding="utf-8"?>
<sst xmlns="http://schemas.openxmlformats.org/spreadsheetml/2006/main" count="415" uniqueCount="126">
  <si>
    <t>HPLC System Suitability Report</t>
  </si>
  <si>
    <t>Analysis Data</t>
  </si>
  <si>
    <t>Assay</t>
  </si>
  <si>
    <t>Sample(s)</t>
  </si>
  <si>
    <t>Reference Substance:</t>
  </si>
  <si>
    <t xml:space="preserve">MALAR-2 FORTE </t>
  </si>
  <si>
    <t>% age Purity:</t>
  </si>
  <si>
    <t>NDQD201508194</t>
  </si>
  <si>
    <t>Weight (mg):</t>
  </si>
  <si>
    <t xml:space="preserve">Artemether  Lumefantrine </t>
  </si>
  <si>
    <t>Standard Conc (mg/mL):</t>
  </si>
  <si>
    <t>Each tablet contains:
Artemether 40 mg
Lumefantrine 240 mg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</si>
  <si>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</si>
  <si>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</si>
  <si>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</si>
  <si>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</si>
  <si>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</si>
  <si>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</si>
  <si>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</si>
  <si>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</si>
  <si>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</si>
  <si>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</si>
  <si>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</si>
  <si>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</si>
  <si>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</si>
  <si>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</si>
  <si>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</si>
  <si>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</si>
  <si>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</si>
  <si>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</si>
  <si>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</si>
  <si>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</si>
  <si>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</si>
  <si>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</si>
  <si>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</si>
  <si>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</si>
  <si>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</si>
  <si>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</si>
  <si>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</si>
  <si>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</si>
  <si>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</si>
  <si>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</si>
  <si>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</si>
  <si>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</si>
  <si>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</si>
  <si>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</si>
  <si>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</si>
  <si>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</si>
  <si>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</si>
  <si>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</si>
  <si>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</si>
  <si>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</si>
  <si>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</si>
  <si>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</si>
  <si>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</si>
  <si>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</si>
  <si>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</si>
  <si>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</si>
  <si>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</si>
  <si>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</si>
  <si>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</si>
  <si>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</si>
  <si>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</si>
  <si>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</si>
  <si>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</si>
  <si>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</si>
  <si>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</si>
  <si>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</si>
  <si>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</si>
  <si>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</si>
  <si>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Amt of 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</si>
  <si>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</si>
  <si>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</si>
  <si>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</si>
  <si>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</si>
  <si>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</si>
  <si>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</si>
  <si>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</si>
  <si>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</si>
  <si>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</si>
  <si>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</si>
  <si>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</si>
  <si>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</si>
  <si>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</si>
  <si>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</si>
  <si>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</si>
  <si>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</si>
  <si>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</si>
  <si>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</si>
  <si>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</si>
  <si>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</si>
  <si>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</si>
  <si>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</si>
  <si>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</si>
  <si>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</si>
  <si>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</si>
  <si>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</si>
  <si>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</si>
  <si>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</si>
  <si>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</si>
  <si>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</si>
  <si>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</si>
  <si>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</t>
  </si>
  <si>
    <t xml:space="preserve">The amount  of </t>
  </si>
  <si>
    <t xml:space="preserve">I the sample as a percentage of the stated  label claim is </t>
  </si>
  <si>
    <t>Analysis Data:</t>
  </si>
  <si>
    <t>Determination of Active Ingredient Dissolved after</t>
  </si>
  <si>
    <t>1hr</t>
  </si>
  <si>
    <t>Medium Volume (mL):</t>
  </si>
  <si>
    <t>tablet No.</t>
  </si>
  <si>
    <t>Amt Released (mg):</t>
  </si>
  <si>
    <t>%age Released:</t>
  </si>
  <si>
    <t xml:space="preserve">dissolved as a percentage of the stated  label claim is </t>
  </si>
  <si>
    <t>3hrs</t>
  </si>
  <si>
    <t>F0J018</t>
  </si>
  <si>
    <t xml:space="preserve">in the sample as a percentage of the stated  label claim is </t>
  </si>
  <si>
    <t>Average Normalised Peak Area:</t>
  </si>
  <si>
    <t>ARTEMETHER</t>
  </si>
  <si>
    <t xml:space="preserve">LUMEFANTRINE </t>
  </si>
  <si>
    <t>WS/14/046</t>
  </si>
  <si>
    <t>29th Oct 2015</t>
  </si>
  <si>
    <t>4th Dec 2015</t>
  </si>
  <si>
    <t xml:space="preserve">       </t>
  </si>
  <si>
    <t>The RSD of the peak areas for six replicate injections of  SST Std is less than 2.0%.</t>
  </si>
  <si>
    <t>The number of Theoretical Plates (USP) for all peaks is greater than 2000</t>
  </si>
  <si>
    <t>The Assymetry of all peaks were below 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</si>
</sst>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164" formatCode="0.00000"/>
    <numFmt numFmtId="165" formatCode="0.0%"/>
    <numFmt numFmtId="166" formatCode="0.0000"/>
    <numFmt numFmtId="167" formatCode="[$-409]d/mmm/yy;@"/>
    <numFmt numFmtId="168" formatCode="dd\-mmm\-yy"/>
    <numFmt numFmtId="169" formatCode="0.0000\ &quot;mg&quot;"/>
    <numFmt numFmtId="170" formatCode="0.000"/>
  </numFmts>
  <fonts count="26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i/>
      <sz val="12"/>
      <color rgb="FF000000"/>
      <name val="Book Antiqua"/>
      <family val="1"/>
    </font>
    <font>
      <b/>
      <sz val="20"/>
      <color rgb="FF000000"/>
      <name val="Book Antiqua"/>
      <family val="1"/>
    </font>
    <font>
      <b/>
      <u/>
      <sz val="20"/>
      <color rgb="FF000000"/>
      <name val="Book Antiqua"/>
      <family val="1"/>
    </font>
    <font>
      <sz val="20"/>
      <color rgb="FF000000"/>
      <name val="Book Antiqua"/>
      <family val="1"/>
    </font>
    <font>
      <vertAlign val="superscript"/>
      <sz val="14"/>
      <color rgb="FF000000"/>
      <name val="Book Antiqua"/>
      <family val="1"/>
    </font>
    <font>
      <b/>
      <sz val="16"/>
      <color rgb="FF000000"/>
      <name val="Book Antiqua"/>
      <family val="1"/>
    </font>
    <font>
      <b/>
      <sz val="11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70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1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7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7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8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9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right"/>
    </xf>
    <xf numFmtId="1" fontId="11" fillId="6" borderId="30" xfId="0" applyNumberFormat="1" applyFont="1" applyFill="1" applyBorder="1" applyAlignment="1">
      <alignment horizontal="center"/>
    </xf>
    <xf numFmtId="170" fontId="11" fillId="6" borderId="3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32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0" fillId="2" borderId="33" xfId="0" applyFont="1" applyFill="1" applyBorder="1" applyAlignment="1">
      <alignment horizontal="right"/>
    </xf>
    <xf numFmtId="170" fontId="10" fillId="2" borderId="0" xfId="0" applyNumberFormat="1" applyFont="1" applyFill="1" applyAlignment="1">
      <alignment horizontal="center"/>
    </xf>
    <xf numFmtId="10" fontId="10" fillId="6" borderId="32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0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6" borderId="32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37" xfId="0" applyFont="1" applyFill="1" applyBorder="1"/>
    <xf numFmtId="0" fontId="11" fillId="2" borderId="24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10" fontId="11" fillId="7" borderId="41" xfId="0" applyNumberFormat="1" applyFont="1" applyFill="1" applyBorder="1" applyAlignment="1">
      <alignment horizontal="center"/>
    </xf>
    <xf numFmtId="0" fontId="10" fillId="2" borderId="22" xfId="0" applyFont="1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right"/>
    </xf>
    <xf numFmtId="10" fontId="11" fillId="6" borderId="41" xfId="0" applyNumberFormat="1" applyFont="1" applyFill="1" applyBorder="1" applyAlignment="1">
      <alignment horizontal="center"/>
    </xf>
    <xf numFmtId="0" fontId="10" fillId="2" borderId="42" xfId="0" applyFont="1" applyFill="1" applyBorder="1"/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14" xfId="0" applyNumberFormat="1" applyFont="1" applyFill="1" applyBorder="1" applyAlignment="1">
      <alignment horizontal="center" vertical="center"/>
    </xf>
    <xf numFmtId="10" fontId="10" fillId="2" borderId="15" xfId="0" applyNumberFormat="1" applyFont="1" applyFill="1" applyBorder="1" applyAlignment="1">
      <alignment horizontal="center" vertical="center"/>
    </xf>
    <xf numFmtId="10" fontId="10" fillId="2" borderId="48" xfId="0" applyNumberFormat="1" applyFont="1" applyFill="1" applyBorder="1" applyAlignment="1">
      <alignment horizontal="center"/>
    </xf>
    <xf numFmtId="10" fontId="10" fillId="2" borderId="49" xfId="0" applyNumberFormat="1" applyFont="1" applyFill="1" applyBorder="1" applyAlignment="1">
      <alignment horizontal="center"/>
    </xf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8" fontId="10" fillId="3" borderId="0" xfId="0" applyNumberFormat="1" applyFont="1" applyFill="1" applyAlignment="1" applyProtection="1">
      <alignment horizontal="left"/>
      <protection locked="0"/>
    </xf>
    <xf numFmtId="170" fontId="10" fillId="2" borderId="38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170" fontId="10" fillId="2" borderId="40" xfId="0" applyNumberFormat="1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48" xfId="0" applyNumberFormat="1" applyFont="1" applyFill="1" applyBorder="1" applyAlignment="1">
      <alignment horizontal="center"/>
    </xf>
    <xf numFmtId="170" fontId="10" fillId="2" borderId="49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50" xfId="0" applyNumberFormat="1" applyFont="1" applyFill="1" applyBorder="1" applyAlignment="1">
      <alignment horizontal="center" vertical="center"/>
    </xf>
    <xf numFmtId="2" fontId="10" fillId="2" borderId="13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2" fontId="10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1" fontId="11" fillId="6" borderId="51" xfId="0" applyNumberFormat="1" applyFont="1" applyFill="1" applyBorder="1" applyAlignment="1">
      <alignment horizontal="center"/>
    </xf>
    <xf numFmtId="0" fontId="10" fillId="2" borderId="52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2" fontId="10" fillId="7" borderId="26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2" fontId="10" fillId="2" borderId="50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0" fillId="2" borderId="7" xfId="0" applyFont="1" applyFill="1" applyBorder="1" applyProtection="1">
      <protection locked="0"/>
    </xf>
    <xf numFmtId="0" fontId="11" fillId="2" borderId="11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166" fontId="11" fillId="2" borderId="0" xfId="0" applyNumberFormat="1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2" fontId="20" fillId="3" borderId="0" xfId="0" applyNumberFormat="1" applyFont="1" applyFill="1" applyAlignment="1" applyProtection="1">
      <alignment horizontal="center"/>
      <protection locked="0"/>
    </xf>
    <xf numFmtId="0" fontId="20" fillId="3" borderId="24" xfId="0" applyFont="1" applyFill="1" applyBorder="1" applyAlignment="1" applyProtection="1">
      <alignment horizontal="center"/>
      <protection locked="0"/>
    </xf>
    <xf numFmtId="0" fontId="20" fillId="3" borderId="23" xfId="0" applyFont="1" applyFill="1" applyBorder="1" applyAlignment="1" applyProtection="1">
      <alignment horizontal="center"/>
      <protection locked="0"/>
    </xf>
    <xf numFmtId="0" fontId="20" fillId="3" borderId="55" xfId="0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9" xfId="0" applyFont="1" applyFill="1" applyBorder="1" applyAlignment="1" applyProtection="1">
      <alignment horizontal="center"/>
      <protection locked="0"/>
    </xf>
    <xf numFmtId="0" fontId="20" fillId="3" borderId="56" xfId="0" applyFont="1" applyFill="1" applyBorder="1" applyAlignment="1" applyProtection="1">
      <alignment horizontal="center"/>
      <protection locked="0"/>
    </xf>
    <xf numFmtId="0" fontId="20" fillId="3" borderId="16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10" fontId="20" fillId="7" borderId="28" xfId="0" applyNumberFormat="1" applyFont="1" applyFill="1" applyBorder="1" applyAlignment="1">
      <alignment horizontal="center"/>
    </xf>
    <xf numFmtId="10" fontId="20" fillId="6" borderId="57" xfId="0" applyNumberFormat="1" applyFont="1" applyFill="1" applyBorder="1" applyAlignment="1">
      <alignment horizontal="center"/>
    </xf>
    <xf numFmtId="0" fontId="20" fillId="7" borderId="58" xfId="0" applyFont="1" applyFill="1" applyBorder="1" applyAlignment="1">
      <alignment horizontal="center"/>
    </xf>
    <xf numFmtId="0" fontId="21" fillId="3" borderId="0" xfId="0" applyFont="1" applyFill="1" applyAlignment="1" applyProtection="1">
      <alignment horizontal="center"/>
      <protection locked="0"/>
    </xf>
    <xf numFmtId="170" fontId="20" fillId="3" borderId="29" xfId="0" applyNumberFormat="1" applyFont="1" applyFill="1" applyBorder="1" applyAlignment="1" applyProtection="1">
      <alignment horizontal="center"/>
      <protection locked="0"/>
    </xf>
    <xf numFmtId="0" fontId="10" fillId="3" borderId="0" xfId="0" applyFont="1" applyFill="1"/>
    <xf numFmtId="0" fontId="20" fillId="3" borderId="0" xfId="0" applyFont="1" applyFill="1" applyAlignment="1" applyProtection="1">
      <alignment horizontal="left"/>
      <protection locked="0"/>
    </xf>
    <xf numFmtId="0" fontId="3" fillId="2" borderId="0" xfId="0" applyFont="1" applyFill="1"/>
    <xf numFmtId="0" fontId="10" fillId="2" borderId="0" xfId="0" applyFont="1" applyFill="1"/>
    <xf numFmtId="0" fontId="11" fillId="2" borderId="0" xfId="0" applyFont="1" applyFill="1"/>
    <xf numFmtId="0" fontId="10" fillId="2" borderId="0" xfId="0" applyFont="1" applyFill="1" applyAlignment="1">
      <alignment horizontal="left"/>
    </xf>
    <xf numFmtId="0" fontId="10" fillId="2" borderId="0" xfId="0" applyFont="1" applyFill="1" applyAlignment="1">
      <alignment horizontal="left"/>
    </xf>
    <xf numFmtId="168" fontId="10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1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0" fillId="2" borderId="0" xfId="0" applyFont="1" applyFill="1" applyAlignment="1">
      <alignment horizontal="right"/>
    </xf>
    <xf numFmtId="0" fontId="10" fillId="2" borderId="0" xfId="0" applyFont="1" applyFill="1" applyAlignment="1">
      <alignment horizontal="center"/>
    </xf>
    <xf numFmtId="0" fontId="12" fillId="2" borderId="0" xfId="0" applyFont="1" applyFill="1" applyAlignment="1">
      <alignment vertical="center" wrapText="1"/>
    </xf>
    <xf numFmtId="0" fontId="13" fillId="2" borderId="0" xfId="0" applyFont="1" applyFill="1"/>
    <xf numFmtId="0" fontId="14" fillId="2" borderId="0" xfId="0" applyFont="1" applyFill="1"/>
    <xf numFmtId="2" fontId="11" fillId="2" borderId="0" xfId="0" applyNumberFormat="1" applyFont="1" applyFill="1" applyAlignment="1">
      <alignment horizontal="center"/>
    </xf>
    <xf numFmtId="0" fontId="11" fillId="2" borderId="0" xfId="0" applyFont="1" applyFill="1" applyAlignment="1">
      <alignment vertical="center" wrapText="1"/>
    </xf>
    <xf numFmtId="0" fontId="15" fillId="2" borderId="0" xfId="0" applyFont="1" applyFill="1"/>
    <xf numFmtId="0" fontId="16" fillId="2" borderId="0" xfId="0" applyFont="1" applyFill="1" applyAlignment="1">
      <alignment horizontal="left" vertical="center" wrapText="1"/>
    </xf>
    <xf numFmtId="169" fontId="11" fillId="2" borderId="0" xfId="0" applyNumberFormat="1" applyFont="1" applyFill="1" applyAlignment="1">
      <alignment horizontal="center"/>
    </xf>
    <xf numFmtId="0" fontId="10" fillId="2" borderId="21" xfId="0" applyFont="1" applyFill="1" applyBorder="1" applyAlignment="1">
      <alignment horizontal="right"/>
    </xf>
    <xf numFmtId="0" fontId="10" fillId="2" borderId="22" xfId="0" applyFont="1" applyFill="1" applyBorder="1" applyAlignment="1">
      <alignment horizontal="right"/>
    </xf>
    <xf numFmtId="0" fontId="10" fillId="2" borderId="23" xfId="0" applyFont="1" applyFill="1" applyBorder="1" applyAlignment="1">
      <alignment horizontal="center"/>
    </xf>
    <xf numFmtId="0" fontId="11" fillId="2" borderId="24" xfId="0" applyFont="1" applyFill="1" applyBorder="1" applyAlignment="1">
      <alignment horizontal="center"/>
    </xf>
    <xf numFmtId="0" fontId="11" fillId="2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0" fillId="2" borderId="27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0" xfId="0" applyFont="1" applyFill="1"/>
    <xf numFmtId="0" fontId="10" fillId="2" borderId="28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right"/>
    </xf>
    <xf numFmtId="1" fontId="11" fillId="6" borderId="30" xfId="0" applyNumberFormat="1" applyFont="1" applyFill="1" applyBorder="1" applyAlignment="1">
      <alignment horizontal="center"/>
    </xf>
    <xf numFmtId="170" fontId="11" fillId="6" borderId="31" xfId="0" applyNumberFormat="1" applyFont="1" applyFill="1" applyBorder="1" applyAlignment="1">
      <alignment horizontal="center"/>
    </xf>
    <xf numFmtId="2" fontId="10" fillId="6" borderId="32" xfId="0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2" fontId="10" fillId="7" borderId="32" xfId="0" applyNumberFormat="1" applyFont="1" applyFill="1" applyBorder="1" applyAlignment="1">
      <alignment horizontal="center"/>
    </xf>
    <xf numFmtId="2" fontId="10" fillId="2" borderId="0" xfId="0" applyNumberFormat="1" applyFont="1" applyFill="1" applyAlignment="1">
      <alignment horizontal="center"/>
    </xf>
    <xf numFmtId="2" fontId="10" fillId="6" borderId="17" xfId="0" applyNumberFormat="1" applyFont="1" applyFill="1" applyBorder="1" applyAlignment="1">
      <alignment horizontal="center"/>
    </xf>
    <xf numFmtId="0" fontId="10" fillId="2" borderId="32" xfId="0" applyFont="1" applyFill="1" applyBorder="1" applyAlignment="1">
      <alignment horizontal="right"/>
    </xf>
    <xf numFmtId="1" fontId="10" fillId="2" borderId="0" xfId="0" applyNumberFormat="1" applyFont="1" applyFill="1" applyAlignment="1">
      <alignment horizontal="center"/>
    </xf>
    <xf numFmtId="0" fontId="10" fillId="2" borderId="17" xfId="0" applyFont="1" applyFill="1" applyBorder="1" applyAlignment="1">
      <alignment horizontal="right"/>
    </xf>
    <xf numFmtId="0" fontId="10" fillId="2" borderId="33" xfId="0" applyFont="1" applyFill="1" applyBorder="1" applyAlignment="1">
      <alignment horizontal="right"/>
    </xf>
    <xf numFmtId="170" fontId="10" fillId="2" borderId="0" xfId="0" applyNumberFormat="1" applyFont="1" applyFill="1" applyAlignment="1">
      <alignment horizontal="center"/>
    </xf>
    <xf numFmtId="10" fontId="10" fillId="6" borderId="32" xfId="0" applyNumberFormat="1" applyFont="1" applyFill="1" applyBorder="1" applyAlignment="1">
      <alignment horizontal="center"/>
    </xf>
    <xf numFmtId="0" fontId="10" fillId="7" borderId="17" xfId="0" applyFont="1" applyFill="1" applyBorder="1" applyAlignment="1">
      <alignment horizontal="center"/>
    </xf>
    <xf numFmtId="0" fontId="11" fillId="2" borderId="0" xfId="0" applyFont="1" applyFill="1" applyAlignment="1">
      <alignment horizontal="left"/>
    </xf>
    <xf numFmtId="0" fontId="11" fillId="2" borderId="13" xfId="0" applyFont="1" applyFill="1" applyBorder="1" applyAlignment="1">
      <alignment horizontal="center"/>
    </xf>
    <xf numFmtId="2" fontId="11" fillId="2" borderId="13" xfId="0" applyNumberFormat="1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10" fillId="2" borderId="14" xfId="0" applyFont="1" applyFill="1" applyBorder="1" applyAlignment="1">
      <alignment horizontal="center"/>
    </xf>
    <xf numFmtId="0" fontId="10" fillId="2" borderId="15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 applyAlignment="1">
      <alignment horizontal="center"/>
    </xf>
    <xf numFmtId="2" fontId="10" fillId="2" borderId="0" xfId="0" applyNumberFormat="1" applyFont="1" applyFill="1" applyAlignment="1">
      <alignment horizontal="center"/>
    </xf>
    <xf numFmtId="0" fontId="10" fillId="2" borderId="0" xfId="0" applyFont="1" applyFill="1"/>
    <xf numFmtId="170" fontId="11" fillId="6" borderId="3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 wrapText="1"/>
    </xf>
    <xf numFmtId="10" fontId="11" fillId="6" borderId="32" xfId="0" applyNumberFormat="1" applyFont="1" applyFill="1" applyBorder="1" applyAlignment="1">
      <alignment horizontal="center"/>
    </xf>
    <xf numFmtId="10" fontId="10" fillId="2" borderId="0" xfId="0" applyNumberFormat="1" applyFont="1" applyFill="1" applyAlignment="1">
      <alignment horizontal="center"/>
    </xf>
    <xf numFmtId="0" fontId="11" fillId="7" borderId="1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36" xfId="0" applyFont="1" applyFill="1" applyBorder="1" applyAlignment="1">
      <alignment horizontal="center"/>
    </xf>
    <xf numFmtId="0" fontId="11" fillId="2" borderId="37" xfId="0" applyFont="1" applyFill="1" applyBorder="1"/>
    <xf numFmtId="0" fontId="11" fillId="2" borderId="24" xfId="0" applyFont="1" applyFill="1" applyBorder="1" applyAlignment="1">
      <alignment horizontal="center" wrapText="1"/>
    </xf>
    <xf numFmtId="2" fontId="10" fillId="2" borderId="38" xfId="0" applyNumberFormat="1" applyFont="1" applyFill="1" applyBorder="1" applyAlignment="1">
      <alignment horizontal="center"/>
    </xf>
    <xf numFmtId="10" fontId="10" fillId="2" borderId="26" xfId="0" applyNumberFormat="1" applyFont="1" applyFill="1" applyBorder="1" applyAlignment="1">
      <alignment horizontal="center"/>
    </xf>
    <xf numFmtId="2" fontId="10" fillId="2" borderId="39" xfId="0" applyNumberFormat="1" applyFont="1" applyFill="1" applyBorder="1" applyAlignment="1">
      <alignment horizontal="center"/>
    </xf>
    <xf numFmtId="2" fontId="10" fillId="2" borderId="40" xfId="0" applyNumberFormat="1" applyFont="1" applyFill="1" applyBorder="1" applyAlignment="1">
      <alignment horizontal="center"/>
    </xf>
    <xf numFmtId="2" fontId="10" fillId="2" borderId="23" xfId="0" applyNumberFormat="1" applyFont="1" applyFill="1" applyBorder="1" applyAlignment="1">
      <alignment horizontal="center"/>
    </xf>
    <xf numFmtId="170" fontId="11" fillId="2" borderId="0" xfId="0" applyNumberFormat="1" applyFont="1" applyFill="1" applyAlignment="1">
      <alignment horizontal="center"/>
    </xf>
    <xf numFmtId="170" fontId="10" fillId="2" borderId="2" xfId="0" applyNumberFormat="1" applyFont="1" applyFill="1" applyBorder="1" applyAlignment="1">
      <alignment horizontal="right"/>
    </xf>
    <xf numFmtId="0" fontId="10" fillId="2" borderId="22" xfId="0" applyFont="1" applyFill="1" applyBorder="1"/>
    <xf numFmtId="0" fontId="10" fillId="2" borderId="6" xfId="0" applyFont="1" applyFill="1" applyBorder="1"/>
    <xf numFmtId="0" fontId="10" fillId="2" borderId="0" xfId="0" applyFont="1" applyFill="1" applyAlignment="1">
      <alignment horizontal="right"/>
    </xf>
    <xf numFmtId="0" fontId="10" fillId="2" borderId="42" xfId="0" applyFont="1" applyFill="1" applyBorder="1"/>
    <xf numFmtId="0" fontId="10" fillId="2" borderId="43" xfId="0" applyFont="1" applyFill="1" applyBorder="1" applyAlignment="1">
      <alignment horizontal="center"/>
    </xf>
    <xf numFmtId="0" fontId="10" fillId="2" borderId="44" xfId="0" applyFont="1" applyFill="1" applyBorder="1" applyAlignment="1">
      <alignment horizontal="right"/>
    </xf>
    <xf numFmtId="0" fontId="10" fillId="2" borderId="45" xfId="0" applyFont="1" applyFill="1" applyBorder="1" applyAlignment="1">
      <alignment horizontal="center"/>
    </xf>
    <xf numFmtId="1" fontId="11" fillId="6" borderId="46" xfId="0" applyNumberFormat="1" applyFont="1" applyFill="1" applyBorder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0" fillId="2" borderId="7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1" fillId="2" borderId="47" xfId="0" applyFont="1" applyFill="1" applyBorder="1" applyAlignment="1">
      <alignment horizontal="center"/>
    </xf>
    <xf numFmtId="2" fontId="10" fillId="2" borderId="21" xfId="0" applyNumberFormat="1" applyFont="1" applyFill="1" applyBorder="1" applyAlignment="1">
      <alignment horizontal="center"/>
    </xf>
    <xf numFmtId="2" fontId="10" fillId="2" borderId="22" xfId="0" applyNumberFormat="1" applyFont="1" applyFill="1" applyBorder="1" applyAlignment="1">
      <alignment horizontal="center"/>
    </xf>
    <xf numFmtId="10" fontId="10" fillId="2" borderId="13" xfId="0" applyNumberFormat="1" applyFont="1" applyFill="1" applyBorder="1" applyAlignment="1">
      <alignment horizontal="center" vertical="center"/>
    </xf>
    <xf numFmtId="10" fontId="10" fillId="2" borderId="14" xfId="0" applyNumberFormat="1" applyFont="1" applyFill="1" applyBorder="1" applyAlignment="1">
      <alignment horizontal="center" vertical="center"/>
    </xf>
    <xf numFmtId="10" fontId="10" fillId="2" borderId="15" xfId="0" applyNumberFormat="1" applyFont="1" applyFill="1" applyBorder="1" applyAlignment="1">
      <alignment horizontal="center" vertical="center"/>
    </xf>
    <xf numFmtId="10" fontId="10" fillId="2" borderId="48" xfId="0" applyNumberFormat="1" applyFont="1" applyFill="1" applyBorder="1" applyAlignment="1">
      <alignment horizontal="center"/>
    </xf>
    <xf numFmtId="10" fontId="10" fillId="2" borderId="49" xfId="0" applyNumberFormat="1" applyFont="1" applyFill="1" applyBorder="1" applyAlignment="1">
      <alignment horizontal="center"/>
    </xf>
    <xf numFmtId="0" fontId="16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/>
    <xf numFmtId="0" fontId="11" fillId="3" borderId="0" xfId="0" applyFont="1" applyFill="1" applyAlignment="1" applyProtection="1">
      <alignment horizontal="left"/>
      <protection locked="0"/>
    </xf>
    <xf numFmtId="0" fontId="10" fillId="3" borderId="0" xfId="0" applyFont="1" applyFill="1" applyAlignment="1" applyProtection="1">
      <alignment horizontal="left"/>
      <protection locked="0"/>
    </xf>
    <xf numFmtId="168" fontId="10" fillId="3" borderId="0" xfId="0" applyNumberFormat="1" applyFont="1" applyFill="1" applyAlignment="1" applyProtection="1">
      <alignment horizontal="left"/>
      <protection locked="0"/>
    </xf>
    <xf numFmtId="170" fontId="10" fillId="2" borderId="38" xfId="0" applyNumberFormat="1" applyFont="1" applyFill="1" applyBorder="1" applyAlignment="1">
      <alignment horizontal="center"/>
    </xf>
    <xf numFmtId="170" fontId="10" fillId="2" borderId="39" xfId="0" applyNumberFormat="1" applyFont="1" applyFill="1" applyBorder="1" applyAlignment="1">
      <alignment horizontal="center"/>
    </xf>
    <xf numFmtId="170" fontId="10" fillId="2" borderId="40" xfId="0" applyNumberFormat="1" applyFont="1" applyFill="1" applyBorder="1" applyAlignment="1">
      <alignment horizontal="center"/>
    </xf>
    <xf numFmtId="170" fontId="10" fillId="2" borderId="26" xfId="0" applyNumberFormat="1" applyFont="1" applyFill="1" applyBorder="1" applyAlignment="1">
      <alignment horizontal="center"/>
    </xf>
    <xf numFmtId="170" fontId="10" fillId="2" borderId="48" xfId="0" applyNumberFormat="1" applyFont="1" applyFill="1" applyBorder="1" applyAlignment="1">
      <alignment horizontal="center"/>
    </xf>
    <xf numFmtId="170" fontId="10" fillId="2" borderId="49" xfId="0" applyNumberFormat="1" applyFont="1" applyFill="1" applyBorder="1" applyAlignment="1">
      <alignment horizontal="center"/>
    </xf>
    <xf numFmtId="1" fontId="11" fillId="6" borderId="15" xfId="0" applyNumberFormat="1" applyFont="1" applyFill="1" applyBorder="1" applyAlignment="1">
      <alignment horizontal="center"/>
    </xf>
    <xf numFmtId="0" fontId="10" fillId="2" borderId="7" xfId="0" applyFont="1" applyFill="1" applyBorder="1"/>
    <xf numFmtId="0" fontId="11" fillId="2" borderId="11" xfId="0" applyFont="1" applyFill="1" applyBorder="1"/>
    <xf numFmtId="0" fontId="10" fillId="2" borderId="7" xfId="0" applyFont="1" applyFill="1" applyBorder="1"/>
    <xf numFmtId="0" fontId="10" fillId="2" borderId="11" xfId="0" applyFont="1" applyFill="1" applyBorder="1"/>
    <xf numFmtId="0" fontId="10" fillId="2" borderId="10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10" fontId="10" fillId="2" borderId="24" xfId="0" applyNumberFormat="1" applyFont="1" applyFill="1" applyBorder="1" applyAlignment="1">
      <alignment horizontal="center" vertical="center"/>
    </xf>
    <xf numFmtId="10" fontId="10" fillId="2" borderId="23" xfId="0" applyNumberFormat="1" applyFont="1" applyFill="1" applyBorder="1" applyAlignment="1">
      <alignment horizontal="center" vertical="center"/>
    </xf>
    <xf numFmtId="10" fontId="10" fillId="2" borderId="50" xfId="0" applyNumberFormat="1" applyFont="1" applyFill="1" applyBorder="1" applyAlignment="1">
      <alignment horizontal="center" vertical="center"/>
    </xf>
    <xf numFmtId="2" fontId="10" fillId="2" borderId="13" xfId="0" applyNumberFormat="1" applyFont="1" applyFill="1" applyBorder="1" applyAlignment="1">
      <alignment horizontal="center"/>
    </xf>
    <xf numFmtId="2" fontId="10" fillId="2" borderId="14" xfId="0" applyNumberFormat="1" applyFont="1" applyFill="1" applyBorder="1" applyAlignment="1">
      <alignment horizontal="center"/>
    </xf>
    <xf numFmtId="2" fontId="10" fillId="2" borderId="15" xfId="0" applyNumberFormat="1" applyFont="1" applyFill="1" applyBorder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0" fillId="3" borderId="0" xfId="0" applyFont="1" applyFill="1" applyProtection="1">
      <protection locked="0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10" fontId="10" fillId="2" borderId="27" xfId="0" applyNumberFormat="1" applyFont="1" applyFill="1" applyBorder="1" applyAlignment="1">
      <alignment horizontal="center"/>
    </xf>
    <xf numFmtId="10" fontId="10" fillId="2" borderId="23" xfId="0" applyNumberFormat="1" applyFont="1" applyFill="1" applyBorder="1" applyAlignment="1">
      <alignment horizontal="center"/>
    </xf>
    <xf numFmtId="10" fontId="10" fillId="2" borderId="28" xfId="0" applyNumberFormat="1" applyFont="1" applyFill="1" applyBorder="1" applyAlignment="1">
      <alignment horizontal="center"/>
    </xf>
    <xf numFmtId="2" fontId="10" fillId="2" borderId="4" xfId="0" applyNumberFormat="1" applyFont="1" applyFill="1" applyBorder="1" applyAlignment="1">
      <alignment horizontal="center"/>
    </xf>
    <xf numFmtId="2" fontId="10" fillId="2" borderId="3" xfId="0" applyNumberFormat="1" applyFont="1" applyFill="1" applyBorder="1" applyAlignment="1">
      <alignment horizontal="center"/>
    </xf>
    <xf numFmtId="2" fontId="10" fillId="2" borderId="5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0" fillId="2" borderId="52" xfId="0" applyFont="1" applyFill="1" applyBorder="1" applyAlignment="1">
      <alignment horizontal="right"/>
    </xf>
    <xf numFmtId="0" fontId="10" fillId="2" borderId="25" xfId="0" applyFont="1" applyFill="1" applyBorder="1" applyAlignment="1">
      <alignment horizontal="right"/>
    </xf>
    <xf numFmtId="2" fontId="10" fillId="6" borderId="41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0" fontId="10" fillId="2" borderId="51" xfId="0" applyFont="1" applyFill="1" applyBorder="1" applyAlignment="1">
      <alignment horizontal="right"/>
    </xf>
    <xf numFmtId="2" fontId="10" fillId="7" borderId="26" xfId="0" applyNumberFormat="1" applyFont="1" applyFill="1" applyBorder="1" applyAlignment="1">
      <alignment horizontal="center"/>
    </xf>
    <xf numFmtId="0" fontId="10" fillId="2" borderId="16" xfId="0" applyFont="1" applyFill="1" applyBorder="1" applyAlignment="1">
      <alignment horizontal="right"/>
    </xf>
    <xf numFmtId="170" fontId="11" fillId="7" borderId="16" xfId="0" applyNumberFormat="1" applyFont="1" applyFill="1" applyBorder="1" applyAlignment="1">
      <alignment horizontal="center"/>
    </xf>
    <xf numFmtId="0" fontId="10" fillId="2" borderId="42" xfId="0" applyFont="1" applyFill="1" applyBorder="1" applyAlignment="1">
      <alignment horizontal="right"/>
    </xf>
    <xf numFmtId="1" fontId="11" fillId="6" borderId="53" xfId="0" applyNumberFormat="1" applyFont="1" applyFill="1" applyBorder="1" applyAlignment="1">
      <alignment horizontal="center"/>
    </xf>
    <xf numFmtId="2" fontId="10" fillId="7" borderId="41" xfId="0" applyNumberFormat="1" applyFont="1" applyFill="1" applyBorder="1" applyAlignment="1">
      <alignment horizontal="center"/>
    </xf>
    <xf numFmtId="2" fontId="10" fillId="7" borderId="26" xfId="0" applyNumberFormat="1" applyFont="1" applyFill="1" applyBorder="1" applyAlignment="1">
      <alignment horizontal="center"/>
    </xf>
    <xf numFmtId="0" fontId="10" fillId="2" borderId="7" xfId="0" applyFont="1" applyFill="1" applyBorder="1" applyProtection="1">
      <protection locked="0"/>
    </xf>
    <xf numFmtId="0" fontId="11" fillId="2" borderId="11" xfId="0" applyFont="1" applyFill="1" applyBorder="1" applyProtection="1">
      <protection locked="0"/>
    </xf>
    <xf numFmtId="0" fontId="10" fillId="2" borderId="0" xfId="0" applyFont="1" applyFill="1" applyAlignment="1">
      <alignment horizontal="right"/>
    </xf>
    <xf numFmtId="0" fontId="10" fillId="2" borderId="0" xfId="0" applyFont="1" applyFill="1"/>
    <xf numFmtId="165" fontId="11" fillId="2" borderId="0" xfId="0" applyNumberFormat="1" applyFont="1" applyFill="1" applyAlignment="1">
      <alignment horizontal="center"/>
    </xf>
    <xf numFmtId="0" fontId="20" fillId="3" borderId="0" xfId="0" applyFont="1" applyFill="1" applyAlignment="1" applyProtection="1">
      <alignment horizontal="center"/>
      <protection locked="0"/>
    </xf>
    <xf numFmtId="0" fontId="20" fillId="3" borderId="0" xfId="0" applyFont="1" applyFill="1" applyAlignment="1" applyProtection="1">
      <alignment horizontal="center"/>
      <protection locked="0"/>
    </xf>
    <xf numFmtId="2" fontId="20" fillId="3" borderId="0" xfId="0" applyNumberFormat="1" applyFont="1" applyFill="1" applyAlignment="1" applyProtection="1">
      <alignment horizontal="center"/>
      <protection locked="0"/>
    </xf>
    <xf numFmtId="0" fontId="20" fillId="3" borderId="24" xfId="0" applyFont="1" applyFill="1" applyBorder="1" applyAlignment="1" applyProtection="1">
      <alignment horizontal="center"/>
      <protection locked="0"/>
    </xf>
    <xf numFmtId="0" fontId="20" fillId="3" borderId="23" xfId="0" applyFont="1" applyFill="1" applyBorder="1" applyAlignment="1" applyProtection="1">
      <alignment horizontal="center"/>
      <protection locked="0"/>
    </xf>
    <xf numFmtId="0" fontId="20" fillId="3" borderId="55" xfId="0" applyFont="1" applyFill="1" applyBorder="1" applyAlignment="1" applyProtection="1">
      <alignment horizontal="center"/>
      <protection locked="0"/>
    </xf>
    <xf numFmtId="0" fontId="20" fillId="3" borderId="22" xfId="0" applyFont="1" applyFill="1" applyBorder="1" applyAlignment="1" applyProtection="1">
      <alignment horizontal="center"/>
      <protection locked="0"/>
    </xf>
    <xf numFmtId="0" fontId="20" fillId="3" borderId="29" xfId="0" applyFont="1" applyFill="1" applyBorder="1" applyAlignment="1" applyProtection="1">
      <alignment horizontal="center"/>
      <protection locked="0"/>
    </xf>
    <xf numFmtId="0" fontId="20" fillId="3" borderId="16" xfId="0" applyFont="1" applyFill="1" applyBorder="1" applyAlignment="1" applyProtection="1">
      <alignment horizontal="center"/>
      <protection locked="0"/>
    </xf>
    <xf numFmtId="0" fontId="20" fillId="3" borderId="41" xfId="0" applyFont="1" applyFill="1" applyBorder="1" applyAlignment="1" applyProtection="1">
      <alignment horizontal="center"/>
      <protection locked="0"/>
    </xf>
    <xf numFmtId="2" fontId="22" fillId="2" borderId="50" xfId="0" applyNumberFormat="1" applyFont="1" applyFill="1" applyBorder="1" applyAlignment="1">
      <alignment horizontal="center"/>
    </xf>
    <xf numFmtId="0" fontId="20" fillId="3" borderId="21" xfId="0" applyFont="1" applyFill="1" applyBorder="1" applyAlignment="1" applyProtection="1">
      <alignment horizontal="center"/>
      <protection locked="0"/>
    </xf>
    <xf numFmtId="0" fontId="20" fillId="3" borderId="42" xfId="0" applyFont="1" applyFill="1" applyBorder="1" applyAlignment="1" applyProtection="1">
      <alignment horizontal="center"/>
      <protection locked="0"/>
    </xf>
    <xf numFmtId="10" fontId="20" fillId="7" borderId="28" xfId="0" applyNumberFormat="1" applyFont="1" applyFill="1" applyBorder="1" applyAlignment="1">
      <alignment horizontal="center"/>
    </xf>
    <xf numFmtId="10" fontId="20" fillId="6" borderId="57" xfId="0" applyNumberFormat="1" applyFont="1" applyFill="1" applyBorder="1" applyAlignment="1">
      <alignment horizontal="center"/>
    </xf>
    <xf numFmtId="0" fontId="20" fillId="7" borderId="58" xfId="0" applyFont="1" applyFill="1" applyBorder="1" applyAlignment="1">
      <alignment horizontal="center"/>
    </xf>
    <xf numFmtId="170" fontId="20" fillId="3" borderId="29" xfId="0" applyNumberFormat="1" applyFont="1" applyFill="1" applyBorder="1" applyAlignment="1" applyProtection="1">
      <alignment horizontal="center"/>
      <protection locked="0"/>
    </xf>
    <xf numFmtId="1" fontId="20" fillId="3" borderId="39" xfId="0" applyNumberFormat="1" applyFont="1" applyFill="1" applyBorder="1" applyAlignment="1" applyProtection="1">
      <alignment horizontal="center"/>
      <protection locked="0"/>
    </xf>
    <xf numFmtId="1" fontId="20" fillId="3" borderId="40" xfId="0" applyNumberFormat="1" applyFont="1" applyFill="1" applyBorder="1" applyAlignment="1" applyProtection="1">
      <alignment horizontal="center"/>
      <protection locked="0"/>
    </xf>
    <xf numFmtId="0" fontId="21" fillId="3" borderId="0" xfId="0" applyFont="1" applyFill="1" applyAlignment="1" applyProtection="1">
      <alignment horizontal="center"/>
      <protection locked="0"/>
    </xf>
    <xf numFmtId="1" fontId="22" fillId="3" borderId="39" xfId="0" applyNumberFormat="1" applyFont="1" applyFill="1" applyBorder="1" applyAlignment="1" applyProtection="1">
      <alignment horizontal="center"/>
      <protection locked="0"/>
    </xf>
    <xf numFmtId="1" fontId="22" fillId="3" borderId="40" xfId="0" applyNumberFormat="1" applyFont="1" applyFill="1" applyBorder="1" applyAlignment="1" applyProtection="1">
      <alignment horizontal="center"/>
      <protection locked="0"/>
    </xf>
    <xf numFmtId="10" fontId="20" fillId="7" borderId="41" xfId="0" applyNumberFormat="1" applyFont="1" applyFill="1" applyBorder="1" applyAlignment="1">
      <alignment horizontal="center"/>
    </xf>
    <xf numFmtId="10" fontId="20" fillId="6" borderId="41" xfId="0" applyNumberFormat="1" applyFont="1" applyFill="1" applyBorder="1" applyAlignment="1">
      <alignment horizontal="center"/>
    </xf>
    <xf numFmtId="0" fontId="20" fillId="7" borderId="17" xfId="0" applyFont="1" applyFill="1" applyBorder="1" applyAlignment="1">
      <alignment horizontal="center"/>
    </xf>
    <xf numFmtId="165" fontId="20" fillId="2" borderId="0" xfId="0" applyNumberFormat="1" applyFont="1" applyFill="1" applyAlignment="1">
      <alignment horizontal="center"/>
    </xf>
    <xf numFmtId="0" fontId="10" fillId="2" borderId="23" xfId="0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 applyAlignment="1" applyProtection="1">
      <alignment horizontal="center"/>
      <protection locked="0"/>
    </xf>
    <xf numFmtId="2" fontId="20" fillId="3" borderId="56" xfId="0" applyNumberFormat="1" applyFont="1" applyFill="1" applyBorder="1" applyAlignment="1" applyProtection="1">
      <alignment horizontal="center"/>
      <protection locked="0"/>
    </xf>
    <xf numFmtId="1" fontId="20" fillId="3" borderId="22" xfId="0" applyNumberFormat="1" applyFont="1" applyFill="1" applyBorder="1" applyAlignment="1" applyProtection="1">
      <alignment horizontal="center"/>
      <protection locked="0"/>
    </xf>
    <xf numFmtId="0" fontId="1" fillId="2" borderId="10" xfId="0" applyFont="1" applyFill="1" applyBorder="1" applyAlignment="1">
      <alignment horizontal="center"/>
    </xf>
    <xf numFmtId="0" fontId="24" fillId="3" borderId="3" xfId="0" applyFont="1" applyFill="1" applyBorder="1" applyAlignment="1" applyProtection="1">
      <alignment horizontal="center"/>
      <protection locked="0"/>
    </xf>
    <xf numFmtId="0" fontId="7" fillId="2" borderId="0" xfId="0" applyFont="1" applyFill="1"/>
    <xf numFmtId="0" fontId="5" fillId="2" borderId="3" xfId="0" applyFont="1" applyFill="1" applyBorder="1" applyAlignment="1">
      <alignment horizontal="center"/>
    </xf>
    <xf numFmtId="0" fontId="25" fillId="3" borderId="3" xfId="0" applyFont="1" applyFill="1" applyBorder="1" applyAlignment="1" applyProtection="1">
      <alignment horizontal="center"/>
      <protection locked="0"/>
    </xf>
    <xf numFmtId="2" fontId="25" fillId="3" borderId="3" xfId="0" applyNumberFormat="1" applyFont="1" applyFill="1" applyBorder="1" applyAlignment="1" applyProtection="1">
      <alignment horizontal="center"/>
      <protection locked="0"/>
    </xf>
    <xf numFmtId="2" fontId="25" fillId="3" borderId="4" xfId="0" applyNumberFormat="1" applyFont="1" applyFill="1" applyBorder="1" applyAlignment="1" applyProtection="1">
      <alignment horizontal="center"/>
      <protection locked="0"/>
    </xf>
    <xf numFmtId="0" fontId="25" fillId="3" borderId="5" xfId="0" applyFont="1" applyFill="1" applyBorder="1" applyAlignment="1" applyProtection="1">
      <alignment horizontal="center"/>
      <protection locked="0"/>
    </xf>
    <xf numFmtId="2" fontId="25" fillId="3" borderId="5" xfId="0" applyNumberFormat="1" applyFont="1" applyFill="1" applyBorder="1" applyAlignment="1" applyProtection="1">
      <alignment horizontal="center"/>
      <protection locked="0"/>
    </xf>
    <xf numFmtId="0" fontId="5" fillId="2" borderId="4" xfId="0" applyFont="1" applyFill="1" applyBorder="1"/>
    <xf numFmtId="0" fontId="5" fillId="2" borderId="3" xfId="0" applyFont="1" applyFill="1" applyBorder="1"/>
    <xf numFmtId="0" fontId="5" fillId="2" borderId="6" xfId="0" applyFont="1" applyFill="1" applyBorder="1"/>
    <xf numFmtId="0" fontId="5" fillId="2" borderId="5" xfId="0" applyFont="1" applyFill="1" applyBorder="1"/>
    <xf numFmtId="0" fontId="5" fillId="2" borderId="7" xfId="0" applyFont="1" applyFill="1" applyBorder="1"/>
    <xf numFmtId="0" fontId="5" fillId="2" borderId="8" xfId="0" applyFont="1" applyFill="1" applyBorder="1"/>
    <xf numFmtId="0" fontId="5" fillId="2" borderId="0" xfId="0" applyFont="1" applyFill="1" applyAlignment="1" applyProtection="1">
      <alignment horizontal="left"/>
      <protection locked="0"/>
    </xf>
    <xf numFmtId="0" fontId="5" fillId="2" borderId="0" xfId="0" applyFont="1" applyFill="1" applyProtection="1">
      <protection locked="0"/>
    </xf>
    <xf numFmtId="0" fontId="1" fillId="2" borderId="9" xfId="0" applyFont="1" applyFill="1" applyBorder="1"/>
    <xf numFmtId="0" fontId="1" fillId="2" borderId="0" xfId="0" applyFont="1" applyFill="1" applyAlignment="1">
      <alignment horizontal="center"/>
    </xf>
    <xf numFmtId="10" fontId="1" fillId="2" borderId="9" xfId="0" applyNumberFormat="1" applyFont="1" applyFill="1" applyBorder="1"/>
    <xf numFmtId="0" fontId="1" fillId="2" borderId="7" xfId="0" applyFont="1" applyFill="1" applyBorder="1"/>
    <xf numFmtId="164" fontId="11" fillId="6" borderId="53" xfId="0" applyNumberFormat="1" applyFont="1" applyFill="1" applyBorder="1" applyAlignment="1">
      <alignment horizontal="center"/>
    </xf>
    <xf numFmtId="164" fontId="11" fillId="6" borderId="34" xfId="0" applyNumberFormat="1" applyFont="1" applyFill="1" applyBorder="1" applyAlignment="1">
      <alignment horizontal="center"/>
    </xf>
    <xf numFmtId="164" fontId="11" fillId="6" borderId="46" xfId="0" applyNumberFormat="1" applyFont="1" applyFill="1" applyBorder="1" applyAlignment="1">
      <alignment horizontal="center"/>
    </xf>
    <xf numFmtId="164" fontId="11" fillId="6" borderId="15" xfId="0" applyNumberFormat="1" applyFont="1" applyFill="1" applyBorder="1" applyAlignment="1">
      <alignment horizontal="center"/>
    </xf>
    <xf numFmtId="166" fontId="20" fillId="3" borderId="39" xfId="0" applyNumberFormat="1" applyFont="1" applyFill="1" applyBorder="1" applyAlignment="1" applyProtection="1">
      <alignment horizontal="center"/>
      <protection locked="0"/>
    </xf>
    <xf numFmtId="166" fontId="20" fillId="3" borderId="40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9" fillId="2" borderId="18" xfId="0" applyFont="1" applyFill="1" applyBorder="1" applyAlignment="1">
      <alignment horizontal="center" wrapText="1"/>
    </xf>
    <xf numFmtId="0" fontId="9" fillId="2" borderId="19" xfId="0" applyFont="1" applyFill="1" applyBorder="1" applyAlignment="1">
      <alignment horizontal="center" wrapText="1"/>
    </xf>
    <xf numFmtId="0" fontId="9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11" fillId="2" borderId="0" xfId="0" applyFont="1" applyFill="1" applyAlignment="1">
      <alignment horizontal="center"/>
    </xf>
    <xf numFmtId="0" fontId="11" fillId="2" borderId="10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justify" vertical="center" wrapText="1"/>
    </xf>
    <xf numFmtId="0" fontId="16" fillId="2" borderId="19" xfId="0" applyFont="1" applyFill="1" applyBorder="1" applyAlignment="1">
      <alignment horizontal="justify" vertical="center" wrapText="1"/>
    </xf>
    <xf numFmtId="0" fontId="16" fillId="2" borderId="20" xfId="0" applyFont="1" applyFill="1" applyBorder="1" applyAlignment="1">
      <alignment horizontal="justify" vertical="center" wrapText="1"/>
    </xf>
    <xf numFmtId="0" fontId="11" fillId="2" borderId="35" xfId="0" applyFont="1" applyFill="1" applyBorder="1" applyAlignment="1">
      <alignment horizontal="center"/>
    </xf>
    <xf numFmtId="0" fontId="11" fillId="2" borderId="54" xfId="0" applyFont="1" applyFill="1" applyBorder="1" applyAlignment="1">
      <alignment horizontal="center"/>
    </xf>
    <xf numFmtId="0" fontId="16" fillId="2" borderId="18" xfId="0" applyFont="1" applyFill="1" applyBorder="1" applyAlignment="1">
      <alignment horizontal="left" vertical="center" wrapText="1"/>
    </xf>
    <xf numFmtId="0" fontId="16" fillId="2" borderId="19" xfId="0" applyFont="1" applyFill="1" applyBorder="1" applyAlignment="1">
      <alignment horizontal="left" vertical="center" wrapText="1"/>
    </xf>
    <xf numFmtId="0" fontId="16" fillId="2" borderId="20" xfId="0" applyFont="1" applyFill="1" applyBorder="1" applyAlignment="1">
      <alignment horizontal="left" vertical="center" wrapText="1"/>
    </xf>
    <xf numFmtId="0" fontId="11" fillId="2" borderId="10" xfId="0" applyFont="1" applyFill="1" applyBorder="1" applyAlignment="1">
      <alignment horizontal="center" vertical="center"/>
    </xf>
    <xf numFmtId="0" fontId="11" fillId="2" borderId="0" xfId="0" applyFont="1" applyFill="1" applyAlignment="1">
      <alignment horizontal="center" vertical="center"/>
    </xf>
    <xf numFmtId="0" fontId="11" fillId="2" borderId="9" xfId="0" applyFont="1" applyFill="1" applyBorder="1" applyAlignment="1">
      <alignment horizontal="center" vertical="center"/>
    </xf>
    <xf numFmtId="0" fontId="11" fillId="2" borderId="42" xfId="0" applyFont="1" applyFill="1" applyBorder="1" applyAlignment="1">
      <alignment horizontal="center" vertical="center"/>
    </xf>
    <xf numFmtId="2" fontId="20" fillId="3" borderId="13" xfId="0" applyNumberFormat="1" applyFont="1" applyFill="1" applyBorder="1" applyAlignment="1" applyProtection="1">
      <alignment horizontal="center" vertical="center"/>
      <protection locked="0"/>
    </xf>
    <xf numFmtId="2" fontId="20" fillId="3" borderId="14" xfId="0" applyNumberFormat="1" applyFont="1" applyFill="1" applyBorder="1" applyAlignment="1" applyProtection="1">
      <alignment horizontal="center" vertical="center"/>
      <protection locked="0"/>
    </xf>
    <xf numFmtId="2" fontId="20" fillId="3" borderId="15" xfId="0" applyNumberFormat="1" applyFont="1" applyFill="1" applyBorder="1" applyAlignment="1" applyProtection="1">
      <alignment horizontal="center" vertical="center"/>
      <protection locked="0"/>
    </xf>
    <xf numFmtId="0" fontId="11" fillId="2" borderId="47" xfId="0" applyFont="1" applyFill="1" applyBorder="1" applyAlignment="1">
      <alignment horizontal="center"/>
    </xf>
    <xf numFmtId="0" fontId="16" fillId="2" borderId="21" xfId="0" applyFont="1" applyFill="1" applyBorder="1" applyAlignment="1">
      <alignment horizontal="left" vertical="center" wrapText="1"/>
    </xf>
    <xf numFmtId="0" fontId="16" fillId="2" borderId="24" xfId="0" applyFont="1" applyFill="1" applyBorder="1" applyAlignment="1">
      <alignment horizontal="left" vertical="center" wrapText="1"/>
    </xf>
    <xf numFmtId="0" fontId="16" fillId="2" borderId="42" xfId="0" applyFont="1" applyFill="1" applyBorder="1" applyAlignment="1">
      <alignment horizontal="left" vertical="center" wrapText="1"/>
    </xf>
    <xf numFmtId="0" fontId="16" fillId="2" borderId="50" xfId="0" applyFont="1" applyFill="1" applyBorder="1" applyAlignment="1">
      <alignment horizontal="left" vertical="center" wrapText="1"/>
    </xf>
    <xf numFmtId="0" fontId="16" fillId="2" borderId="10" xfId="0" applyFont="1" applyFill="1" applyBorder="1" applyAlignment="1">
      <alignment horizontal="left" vertical="center" wrapText="1"/>
    </xf>
    <xf numFmtId="0" fontId="16" fillId="2" borderId="9" xfId="0" applyFont="1" applyFill="1" applyBorder="1" applyAlignment="1">
      <alignment horizontal="left" vertical="center" wrapText="1"/>
    </xf>
    <xf numFmtId="0" fontId="16" fillId="2" borderId="21" xfId="0" applyFont="1" applyFill="1" applyBorder="1" applyAlignment="1">
      <alignment horizontal="center" vertical="center" wrapText="1"/>
    </xf>
    <xf numFmtId="0" fontId="16" fillId="2" borderId="24" xfId="0" applyFont="1" applyFill="1" applyBorder="1" applyAlignment="1">
      <alignment horizontal="center" vertical="center" wrapText="1"/>
    </xf>
    <xf numFmtId="0" fontId="16" fillId="2" borderId="42" xfId="0" applyFont="1" applyFill="1" applyBorder="1" applyAlignment="1">
      <alignment horizontal="center" vertical="center" wrapText="1"/>
    </xf>
    <xf numFmtId="0" fontId="16" fillId="2" borderId="50" xfId="0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 vertical="center"/>
    </xf>
    <xf numFmtId="0" fontId="18" fillId="2" borderId="0" xfId="0" applyFont="1" applyFill="1" applyAlignment="1">
      <alignment horizontal="center" vertical="center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0" workbookViewId="0">
      <selection activeCell="A15" sqref="A15:E15"/>
    </sheetView>
  </sheetViews>
  <sheetFormatPr defaultRowHeight="15" x14ac:dyDescent="0.3"/>
  <cols>
    <col min="1" max="1" width="27.5703125" style="1" customWidth="1"/>
    <col min="2" max="2" width="27.28515625" style="1" customWidth="1"/>
    <col min="3" max="3" width="31.85546875" style="1" customWidth="1"/>
    <col min="4" max="4" width="25.85546875" style="1" customWidth="1"/>
    <col min="5" max="5" width="25.7109375" style="1" customWidth="1"/>
    <col min="6" max="6" width="23.140625" style="1" customWidth="1"/>
    <col min="7" max="7" width="28.42578125" style="1" customWidth="1"/>
    <col min="8" max="8" width="21.5703125" style="1" customWidth="1"/>
    <col min="9" max="9" width="9.140625" style="1" customWidth="1"/>
    <col min="10" max="16384" width="9.140625" style="400"/>
  </cols>
  <sheetData>
    <row r="14" spans="1:6" ht="15" customHeight="1" x14ac:dyDescent="0.3">
      <c r="C14" s="17"/>
      <c r="F14" s="17"/>
    </row>
    <row r="15" spans="1:6" ht="18.75" customHeight="1" x14ac:dyDescent="0.3">
      <c r="A15" s="425" t="s">
        <v>0</v>
      </c>
      <c r="B15" s="425"/>
      <c r="C15" s="425"/>
      <c r="D15" s="425"/>
      <c r="E15" s="425"/>
    </row>
    <row r="16" spans="1:6" ht="16.5" customHeight="1" x14ac:dyDescent="0.3">
      <c r="A16" s="57" t="s">
        <v>1</v>
      </c>
      <c r="B16" s="26" t="s">
        <v>2</v>
      </c>
    </row>
    <row r="17" spans="1:5" ht="16.5" customHeight="1" x14ac:dyDescent="0.3">
      <c r="A17" s="3" t="s">
        <v>3</v>
      </c>
      <c r="B17" s="3" t="str">
        <f>'ARTEMETHER '!B18:C18</f>
        <v xml:space="preserve">MALAR-2 FORTE </v>
      </c>
      <c r="D17" s="4"/>
      <c r="E17" s="42"/>
    </row>
    <row r="18" spans="1:5" ht="16.5" customHeight="1" x14ac:dyDescent="0.3">
      <c r="A18" s="42" t="s">
        <v>4</v>
      </c>
      <c r="B18" s="3" t="str">
        <f>'ARTEMETHER '!B26:C26</f>
        <v>ARTEMETHER</v>
      </c>
      <c r="C18" s="42"/>
      <c r="D18" s="42"/>
      <c r="E18" s="42"/>
    </row>
    <row r="19" spans="1:5" ht="16.5" customHeight="1" x14ac:dyDescent="0.3">
      <c r="A19" s="42" t="s">
        <v>6</v>
      </c>
      <c r="B19" s="6">
        <f>'ARTEMETHER '!B28</f>
        <v>99.8</v>
      </c>
      <c r="C19" s="42"/>
      <c r="D19" s="42"/>
      <c r="E19" s="42"/>
    </row>
    <row r="20" spans="1:5" ht="16.5" customHeight="1" x14ac:dyDescent="0.3">
      <c r="A20" s="3" t="s">
        <v>8</v>
      </c>
      <c r="B20" s="6">
        <f>'ARTEMETHER '!D43</f>
        <v>21.82</v>
      </c>
      <c r="C20" s="42"/>
      <c r="D20" s="42"/>
      <c r="E20" s="42"/>
    </row>
    <row r="21" spans="1:5" ht="16.5" customHeight="1" x14ac:dyDescent="0.3">
      <c r="A21" s="3" t="s">
        <v>10</v>
      </c>
      <c r="B21" s="7">
        <f>'ARTEMETHER '!D46</f>
        <v>0.2177636</v>
      </c>
      <c r="C21" s="42"/>
      <c r="D21" s="42"/>
      <c r="E21" s="42"/>
    </row>
    <row r="22" spans="1:5" ht="15.75" customHeight="1" x14ac:dyDescent="0.3">
      <c r="A22" s="42"/>
      <c r="B22" s="42"/>
      <c r="C22" s="42"/>
      <c r="D22" s="42"/>
      <c r="E22" s="42"/>
    </row>
    <row r="23" spans="1:5" ht="16.5" customHeight="1" x14ac:dyDescent="0.3">
      <c r="A23" s="9" t="s">
        <v>12</v>
      </c>
      <c r="B23" s="8" t="s">
        <v>13</v>
      </c>
      <c r="C23" s="9" t="s">
        <v>14</v>
      </c>
      <c r="D23" s="9" t="s">
        <v>15</v>
      </c>
      <c r="E23" s="9" t="s">
        <v>16</v>
      </c>
    </row>
    <row r="24" spans="1:5" ht="16.5" customHeight="1" x14ac:dyDescent="0.3">
      <c r="A24" s="401">
        <v>1</v>
      </c>
      <c r="B24" s="402">
        <v>2436275</v>
      </c>
      <c r="C24" s="403">
        <v>10953.9</v>
      </c>
      <c r="D24" s="403">
        <v>1.02</v>
      </c>
      <c r="E24" s="404">
        <v>5.63</v>
      </c>
    </row>
    <row r="25" spans="1:5" ht="16.5" customHeight="1" x14ac:dyDescent="0.3">
      <c r="A25" s="401">
        <v>2</v>
      </c>
      <c r="B25" s="402">
        <v>2433643</v>
      </c>
      <c r="C25" s="403">
        <v>10960.82</v>
      </c>
      <c r="D25" s="403">
        <v>1.02</v>
      </c>
      <c r="E25" s="403">
        <v>5.62</v>
      </c>
    </row>
    <row r="26" spans="1:5" ht="16.5" customHeight="1" x14ac:dyDescent="0.3">
      <c r="A26" s="401">
        <v>3</v>
      </c>
      <c r="B26" s="402">
        <v>2440825</v>
      </c>
      <c r="C26" s="403">
        <v>10882.21</v>
      </c>
      <c r="D26" s="403">
        <v>1</v>
      </c>
      <c r="E26" s="403">
        <v>5.63</v>
      </c>
    </row>
    <row r="27" spans="1:5" ht="16.5" customHeight="1" x14ac:dyDescent="0.3">
      <c r="A27" s="401">
        <v>4</v>
      </c>
      <c r="B27" s="402">
        <v>2444920</v>
      </c>
      <c r="C27" s="403">
        <v>10935.42</v>
      </c>
      <c r="D27" s="403">
        <v>1.02</v>
      </c>
      <c r="E27" s="403">
        <v>5.63</v>
      </c>
    </row>
    <row r="28" spans="1:5" ht="16.5" customHeight="1" x14ac:dyDescent="0.3">
      <c r="A28" s="401">
        <v>5</v>
      </c>
      <c r="B28" s="402">
        <v>2452603</v>
      </c>
      <c r="C28" s="403">
        <v>10967.62</v>
      </c>
      <c r="D28" s="403">
        <v>1.02</v>
      </c>
      <c r="E28" s="403">
        <v>5.63</v>
      </c>
    </row>
    <row r="29" spans="1:5" ht="16.5" customHeight="1" x14ac:dyDescent="0.3">
      <c r="A29" s="401">
        <v>6</v>
      </c>
      <c r="B29" s="405">
        <v>2440045</v>
      </c>
      <c r="C29" s="406">
        <v>10957.68</v>
      </c>
      <c r="D29" s="406">
        <v>1.03</v>
      </c>
      <c r="E29" s="406">
        <v>5.63</v>
      </c>
    </row>
    <row r="30" spans="1:5" ht="16.5" customHeight="1" x14ac:dyDescent="0.3">
      <c r="A30" s="407" t="s">
        <v>17</v>
      </c>
      <c r="B30" s="10">
        <f>AVERAGE(B24:B29)</f>
        <v>2441385.1666666665</v>
      </c>
      <c r="C30" s="11">
        <f>AVERAGE(C24:C29)</f>
        <v>10942.941666666666</v>
      </c>
      <c r="D30" s="12">
        <f>AVERAGE(D24:D29)</f>
        <v>1.0183333333333333</v>
      </c>
      <c r="E30" s="12">
        <f>AVERAGE(E24:E29)</f>
        <v>5.628333333333333</v>
      </c>
    </row>
    <row r="31" spans="1:5" ht="16.5" customHeight="1" x14ac:dyDescent="0.3">
      <c r="A31" s="408" t="s">
        <v>18</v>
      </c>
      <c r="B31" s="13">
        <f>(STDEV(B24:B29)/B30)</f>
        <v>2.7568455021685359E-3</v>
      </c>
      <c r="C31" s="14"/>
      <c r="D31" s="14"/>
      <c r="E31" s="409"/>
    </row>
    <row r="32" spans="1:5" s="1" customFormat="1" ht="16.5" customHeight="1" x14ac:dyDescent="0.3">
      <c r="A32" s="410" t="s">
        <v>19</v>
      </c>
      <c r="B32" s="15">
        <f>COUNT(B24:B29)</f>
        <v>6</v>
      </c>
      <c r="C32" s="16"/>
      <c r="D32" s="411"/>
      <c r="E32" s="412"/>
    </row>
    <row r="33" spans="1:5" s="1" customFormat="1" ht="15.75" customHeight="1" x14ac:dyDescent="0.3">
      <c r="A33" s="42"/>
      <c r="B33" s="42"/>
      <c r="C33" s="42"/>
      <c r="D33" s="42"/>
      <c r="E33" s="42"/>
    </row>
    <row r="34" spans="1:5" s="1" customFormat="1" ht="16.5" customHeight="1" x14ac:dyDescent="0.3">
      <c r="A34" s="42" t="s">
        <v>20</v>
      </c>
      <c r="B34" s="413" t="s">
        <v>123</v>
      </c>
      <c r="C34" s="414"/>
      <c r="D34" s="414"/>
      <c r="E34" s="414"/>
    </row>
    <row r="35" spans="1:5" ht="16.5" customHeight="1" x14ac:dyDescent="0.3">
      <c r="A35" s="42"/>
      <c r="B35" s="413" t="s">
        <v>124</v>
      </c>
      <c r="C35" s="414"/>
      <c r="D35" s="414"/>
      <c r="E35" s="414"/>
    </row>
    <row r="36" spans="1:5" ht="16.5" customHeight="1" x14ac:dyDescent="0.3">
      <c r="A36" s="42"/>
      <c r="B36" s="413" t="s">
        <v>125</v>
      </c>
      <c r="C36" s="414"/>
      <c r="D36" s="414"/>
      <c r="E36" s="414"/>
    </row>
    <row r="37" spans="1:5" ht="15.75" customHeight="1" x14ac:dyDescent="0.3">
      <c r="A37" s="42"/>
      <c r="B37" s="42"/>
      <c r="C37" s="42"/>
      <c r="D37" s="42"/>
      <c r="E37" s="42"/>
    </row>
    <row r="38" spans="1:5" ht="16.5" customHeight="1" x14ac:dyDescent="0.3">
      <c r="A38" s="57" t="s">
        <v>1</v>
      </c>
      <c r="B38" s="26" t="s">
        <v>21</v>
      </c>
    </row>
    <row r="39" spans="1:5" ht="16.5" customHeight="1" x14ac:dyDescent="0.3">
      <c r="A39" s="42" t="s">
        <v>4</v>
      </c>
      <c r="B39" s="3" t="str">
        <f>B17</f>
        <v xml:space="preserve">MALAR-2 FORTE </v>
      </c>
      <c r="C39" s="42"/>
      <c r="D39" s="42"/>
      <c r="E39" s="42"/>
    </row>
    <row r="40" spans="1:5" ht="16.5" customHeight="1" x14ac:dyDescent="0.3">
      <c r="A40" s="42" t="s">
        <v>6</v>
      </c>
      <c r="B40" s="6">
        <f>'ARTEMETHER '!B82</f>
        <v>99.8</v>
      </c>
      <c r="C40" s="42"/>
      <c r="D40" s="42"/>
      <c r="E40" s="42"/>
    </row>
    <row r="41" spans="1:5" ht="16.5" customHeight="1" x14ac:dyDescent="0.3">
      <c r="A41" s="3" t="s">
        <v>8</v>
      </c>
      <c r="B41" s="6">
        <f>'ARTEMETHER '!D97</f>
        <v>22</v>
      </c>
      <c r="C41" s="42"/>
      <c r="D41" s="42"/>
      <c r="E41" s="42"/>
    </row>
    <row r="42" spans="1:5" ht="16.5" customHeight="1" x14ac:dyDescent="0.3">
      <c r="A42" s="3" t="s">
        <v>10</v>
      </c>
      <c r="B42" s="7">
        <f>'ARTEMETHER '!D100</f>
        <v>2.1956E-2</v>
      </c>
      <c r="C42" s="42"/>
      <c r="D42" s="42"/>
      <c r="E42" s="42"/>
    </row>
    <row r="43" spans="1:5" ht="15.75" customHeight="1" x14ac:dyDescent="0.3">
      <c r="A43" s="42"/>
      <c r="B43" s="42"/>
      <c r="C43" s="42"/>
      <c r="D43" s="42"/>
      <c r="E43" s="42"/>
    </row>
    <row r="44" spans="1:5" ht="16.5" customHeight="1" x14ac:dyDescent="0.3">
      <c r="A44" s="9" t="s">
        <v>12</v>
      </c>
      <c r="B44" s="8" t="s">
        <v>13</v>
      </c>
      <c r="C44" s="9" t="s">
        <v>14</v>
      </c>
      <c r="D44" s="9" t="s">
        <v>15</v>
      </c>
      <c r="E44" s="9" t="s">
        <v>16</v>
      </c>
    </row>
    <row r="45" spans="1:5" ht="16.5" customHeight="1" x14ac:dyDescent="0.3">
      <c r="A45" s="401">
        <v>1</v>
      </c>
      <c r="B45" s="402">
        <v>987944</v>
      </c>
      <c r="C45" s="402">
        <v>15290.14</v>
      </c>
      <c r="D45" s="403">
        <v>1.07</v>
      </c>
      <c r="E45" s="404">
        <v>7.41</v>
      </c>
    </row>
    <row r="46" spans="1:5" ht="16.5" customHeight="1" x14ac:dyDescent="0.3">
      <c r="A46" s="401">
        <v>2</v>
      </c>
      <c r="B46" s="402">
        <v>983006</v>
      </c>
      <c r="C46" s="402">
        <v>15278.85</v>
      </c>
      <c r="D46" s="403">
        <v>1.06</v>
      </c>
      <c r="E46" s="403">
        <v>7.41</v>
      </c>
    </row>
    <row r="47" spans="1:5" ht="16.5" customHeight="1" x14ac:dyDescent="0.3">
      <c r="A47" s="401">
        <v>3</v>
      </c>
      <c r="B47" s="402">
        <v>985639</v>
      </c>
      <c r="C47" s="402">
        <v>15329.16</v>
      </c>
      <c r="D47" s="403">
        <v>1.08</v>
      </c>
      <c r="E47" s="403">
        <v>7.41</v>
      </c>
    </row>
    <row r="48" spans="1:5" ht="16.5" customHeight="1" x14ac:dyDescent="0.3">
      <c r="A48" s="401">
        <v>4</v>
      </c>
      <c r="B48" s="402">
        <v>979461</v>
      </c>
      <c r="C48" s="402">
        <v>15372.52</v>
      </c>
      <c r="D48" s="403">
        <v>1.07</v>
      </c>
      <c r="E48" s="403">
        <v>7.41</v>
      </c>
    </row>
    <row r="49" spans="1:7" ht="16.5" customHeight="1" x14ac:dyDescent="0.3">
      <c r="A49" s="401">
        <v>5</v>
      </c>
      <c r="B49" s="402">
        <v>980665</v>
      </c>
      <c r="C49" s="402">
        <v>15319.31</v>
      </c>
      <c r="D49" s="403">
        <v>1.07</v>
      </c>
      <c r="E49" s="403">
        <v>7.41</v>
      </c>
    </row>
    <row r="50" spans="1:7" ht="16.5" customHeight="1" x14ac:dyDescent="0.3">
      <c r="A50" s="401">
        <v>6</v>
      </c>
      <c r="B50" s="405">
        <v>980975</v>
      </c>
      <c r="C50" s="405">
        <v>15284.24</v>
      </c>
      <c r="D50" s="406">
        <v>1.07</v>
      </c>
      <c r="E50" s="406">
        <v>7.41</v>
      </c>
    </row>
    <row r="51" spans="1:7" ht="16.5" customHeight="1" x14ac:dyDescent="0.3">
      <c r="A51" s="407" t="s">
        <v>17</v>
      </c>
      <c r="B51" s="10">
        <f>AVERAGE(B45:B50)</f>
        <v>982948.33333333337</v>
      </c>
      <c r="C51" s="11">
        <f>AVERAGE(C45:C50)</f>
        <v>15312.37</v>
      </c>
      <c r="D51" s="12">
        <f>AVERAGE(D45:D50)</f>
        <v>1.07</v>
      </c>
      <c r="E51" s="12">
        <f>AVERAGE(E45:E50)</f>
        <v>7.4099999999999993</v>
      </c>
    </row>
    <row r="52" spans="1:7" ht="16.5" customHeight="1" x14ac:dyDescent="0.3">
      <c r="A52" s="408" t="s">
        <v>18</v>
      </c>
      <c r="B52" s="13">
        <f>(STDEV(B45:B50)/B51)</f>
        <v>3.3268614762095631E-3</v>
      </c>
      <c r="C52" s="14"/>
      <c r="D52" s="14"/>
      <c r="E52" s="409"/>
    </row>
    <row r="53" spans="1:7" s="1" customFormat="1" ht="16.5" customHeight="1" x14ac:dyDescent="0.3">
      <c r="A53" s="410" t="s">
        <v>19</v>
      </c>
      <c r="B53" s="15">
        <f>COUNT(B45:B50)</f>
        <v>6</v>
      </c>
      <c r="C53" s="16"/>
      <c r="D53" s="411"/>
      <c r="E53" s="412"/>
    </row>
    <row r="54" spans="1:7" s="1" customFormat="1" ht="15.75" customHeight="1" x14ac:dyDescent="0.3">
      <c r="A54" s="42"/>
      <c r="B54" s="42"/>
      <c r="C54" s="42"/>
      <c r="D54" s="42"/>
      <c r="E54" s="42"/>
    </row>
    <row r="55" spans="1:7" s="1" customFormat="1" ht="16.5" customHeight="1" x14ac:dyDescent="0.3">
      <c r="A55" s="42" t="s">
        <v>20</v>
      </c>
      <c r="B55" s="413" t="s">
        <v>123</v>
      </c>
      <c r="C55" s="414"/>
      <c r="D55" s="414"/>
      <c r="E55" s="414"/>
    </row>
    <row r="56" spans="1:7" ht="16.5" customHeight="1" x14ac:dyDescent="0.3">
      <c r="A56" s="42"/>
      <c r="B56" s="413" t="s">
        <v>124</v>
      </c>
      <c r="C56" s="414"/>
      <c r="D56" s="414"/>
      <c r="E56" s="414"/>
    </row>
    <row r="57" spans="1:7" ht="16.5" customHeight="1" x14ac:dyDescent="0.3">
      <c r="A57" s="42"/>
      <c r="B57" s="413" t="s">
        <v>125</v>
      </c>
      <c r="C57" s="414"/>
      <c r="D57" s="414"/>
      <c r="E57" s="414"/>
    </row>
    <row r="58" spans="1:7" ht="14.25" customHeight="1" x14ac:dyDescent="0.3">
      <c r="A58" s="415"/>
      <c r="B58" s="416"/>
      <c r="D58" s="417"/>
      <c r="F58" s="400"/>
      <c r="G58" s="400"/>
    </row>
    <row r="59" spans="1:7" ht="15" customHeight="1" x14ac:dyDescent="0.3">
      <c r="B59" s="426" t="s">
        <v>22</v>
      </c>
      <c r="C59" s="426"/>
      <c r="E59" s="398" t="s">
        <v>23</v>
      </c>
      <c r="F59" s="398"/>
      <c r="G59" s="398" t="s">
        <v>24</v>
      </c>
    </row>
    <row r="60" spans="1:7" ht="15" customHeight="1" x14ac:dyDescent="0.3">
      <c r="A60" s="17" t="s">
        <v>25</v>
      </c>
      <c r="B60" s="418"/>
      <c r="C60" s="418"/>
      <c r="E60" s="418"/>
      <c r="G60" s="418"/>
    </row>
    <row r="61" spans="1:7" ht="15" customHeight="1" x14ac:dyDescent="0.3">
      <c r="A61" s="17" t="s">
        <v>26</v>
      </c>
      <c r="B61" s="18"/>
      <c r="C61" s="18"/>
      <c r="E61" s="18"/>
      <c r="G61" s="18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48" orientation="portrait" blackAndWhite="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5" workbookViewId="0">
      <selection activeCell="C20" sqref="C20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430" t="s">
        <v>27</v>
      </c>
      <c r="B11" s="431"/>
      <c r="C11" s="431"/>
      <c r="D11" s="431"/>
      <c r="E11" s="431"/>
      <c r="F11" s="432"/>
      <c r="G11" s="58"/>
    </row>
    <row r="12" spans="1:7" ht="16.5" customHeight="1" x14ac:dyDescent="0.3">
      <c r="A12" s="429" t="s">
        <v>28</v>
      </c>
      <c r="B12" s="429"/>
      <c r="C12" s="429"/>
      <c r="D12" s="429"/>
      <c r="E12" s="429"/>
      <c r="F12" s="429"/>
      <c r="G12" s="57"/>
    </row>
    <row r="14" spans="1:7" ht="16.5" customHeight="1" x14ac:dyDescent="0.3">
      <c r="A14" s="434" t="s">
        <v>29</v>
      </c>
      <c r="B14" s="434"/>
      <c r="C14" s="27" t="s">
        <v>5</v>
      </c>
    </row>
    <row r="15" spans="1:7" ht="16.5" customHeight="1" x14ac:dyDescent="0.3">
      <c r="A15" s="434" t="s">
        <v>30</v>
      </c>
      <c r="B15" s="434"/>
      <c r="C15" s="27" t="s">
        <v>7</v>
      </c>
    </row>
    <row r="16" spans="1:7" ht="16.5" customHeight="1" x14ac:dyDescent="0.3">
      <c r="A16" s="434" t="s">
        <v>31</v>
      </c>
      <c r="B16" s="434"/>
      <c r="C16" s="27" t="s">
        <v>9</v>
      </c>
    </row>
    <row r="17" spans="1:5" ht="16.5" customHeight="1" x14ac:dyDescent="0.3">
      <c r="A17" s="434" t="s">
        <v>32</v>
      </c>
      <c r="B17" s="434"/>
      <c r="C17" s="27" t="s">
        <v>11</v>
      </c>
    </row>
    <row r="18" spans="1:5" ht="16.5" customHeight="1" x14ac:dyDescent="0.3">
      <c r="A18" s="434" t="s">
        <v>33</v>
      </c>
      <c r="B18" s="434"/>
      <c r="C18" s="64" t="str">
        <f>'ARTEMETHER '!B22</f>
        <v>29th Oct 2015</v>
      </c>
    </row>
    <row r="19" spans="1:5" ht="16.5" customHeight="1" x14ac:dyDescent="0.3">
      <c r="A19" s="434" t="s">
        <v>34</v>
      </c>
      <c r="B19" s="434"/>
      <c r="C19" s="64" t="str">
        <f>'ARTEMETHER '!B23</f>
        <v>4th Dec 2015</v>
      </c>
    </row>
    <row r="20" spans="1:5" ht="16.5" customHeight="1" x14ac:dyDescent="0.3">
      <c r="A20" s="29"/>
      <c r="B20" s="29"/>
      <c r="C20" s="44"/>
    </row>
    <row r="21" spans="1:5" ht="16.5" customHeight="1" x14ac:dyDescent="0.3">
      <c r="A21" s="429" t="s">
        <v>1</v>
      </c>
      <c r="B21" s="429"/>
      <c r="C21" s="26" t="s">
        <v>35</v>
      </c>
      <c r="D21" s="33"/>
    </row>
    <row r="22" spans="1:5" ht="15.75" customHeight="1" x14ac:dyDescent="0.3">
      <c r="A22" s="433"/>
      <c r="B22" s="433"/>
      <c r="C22" s="24"/>
      <c r="D22" s="433"/>
      <c r="E22" s="433"/>
    </row>
    <row r="23" spans="1:5" ht="33.75" customHeight="1" x14ac:dyDescent="0.3">
      <c r="C23" s="53" t="s">
        <v>36</v>
      </c>
      <c r="D23" s="52" t="s">
        <v>37</v>
      </c>
      <c r="E23" s="19"/>
    </row>
    <row r="24" spans="1:5" ht="15.75" customHeight="1" x14ac:dyDescent="0.3">
      <c r="C24" s="62">
        <v>561.75</v>
      </c>
      <c r="D24" s="54">
        <f t="shared" ref="D24:D43" si="0">(C24-$C$46)/$C$46</f>
        <v>1.3055659000145419E-2</v>
      </c>
      <c r="E24" s="20"/>
    </row>
    <row r="25" spans="1:5" ht="15.75" customHeight="1" x14ac:dyDescent="0.3">
      <c r="C25" s="62">
        <v>554.52</v>
      </c>
      <c r="D25" s="55">
        <f t="shared" si="0"/>
        <v>1.7132227433234207E-5</v>
      </c>
      <c r="E25" s="20"/>
    </row>
    <row r="26" spans="1:5" ht="15.75" customHeight="1" x14ac:dyDescent="0.3">
      <c r="C26" s="62">
        <v>573.09</v>
      </c>
      <c r="D26" s="55">
        <f t="shared" si="0"/>
        <v>3.3506128378092338E-2</v>
      </c>
      <c r="E26" s="20"/>
    </row>
    <row r="27" spans="1:5" ht="15.75" customHeight="1" x14ac:dyDescent="0.3">
      <c r="C27" s="62">
        <v>544.01</v>
      </c>
      <c r="D27" s="55">
        <f t="shared" si="0"/>
        <v>-1.8936521490575699E-2</v>
      </c>
      <c r="E27" s="20"/>
    </row>
    <row r="28" spans="1:5" ht="15.75" customHeight="1" x14ac:dyDescent="0.3">
      <c r="C28" s="62">
        <v>530.25</v>
      </c>
      <c r="D28" s="55">
        <f t="shared" si="0"/>
        <v>-4.3751200383040305E-2</v>
      </c>
      <c r="E28" s="20"/>
    </row>
    <row r="29" spans="1:5" ht="15.75" customHeight="1" x14ac:dyDescent="0.3">
      <c r="C29" s="62">
        <v>560.78</v>
      </c>
      <c r="D29" s="55">
        <f t="shared" si="0"/>
        <v>1.1306368409615524E-2</v>
      </c>
      <c r="E29" s="20"/>
    </row>
    <row r="30" spans="1:5" ht="15.75" customHeight="1" x14ac:dyDescent="0.3">
      <c r="C30" s="62">
        <v>541.61</v>
      </c>
      <c r="D30" s="55">
        <f t="shared" si="0"/>
        <v>-2.3264663157865999E-2</v>
      </c>
      <c r="E30" s="20"/>
    </row>
    <row r="31" spans="1:5" ht="15.75" customHeight="1" x14ac:dyDescent="0.3">
      <c r="C31" s="62">
        <v>564.54999999999995</v>
      </c>
      <c r="D31" s="55">
        <f t="shared" si="0"/>
        <v>1.8105157611984068E-2</v>
      </c>
      <c r="E31" s="20"/>
    </row>
    <row r="32" spans="1:5" ht="15.75" customHeight="1" x14ac:dyDescent="0.3">
      <c r="C32" s="62">
        <v>547.74</v>
      </c>
      <c r="D32" s="55">
        <f t="shared" si="0"/>
        <v>-1.220986798266193E-2</v>
      </c>
      <c r="E32" s="20"/>
    </row>
    <row r="33" spans="1:7" ht="15.75" customHeight="1" x14ac:dyDescent="0.3">
      <c r="C33" s="62">
        <v>566.38</v>
      </c>
      <c r="D33" s="55">
        <f t="shared" si="0"/>
        <v>2.1405365633293028E-2</v>
      </c>
      <c r="E33" s="20"/>
    </row>
    <row r="34" spans="1:7" ht="15.75" customHeight="1" x14ac:dyDescent="0.3">
      <c r="C34" s="62">
        <v>568.07000000000005</v>
      </c>
      <c r="D34" s="55">
        <f t="shared" si="0"/>
        <v>2.4453098724010074E-2</v>
      </c>
      <c r="E34" s="20"/>
    </row>
    <row r="35" spans="1:7" ht="15.75" customHeight="1" x14ac:dyDescent="0.3">
      <c r="C35" s="62">
        <v>570.80999999999995</v>
      </c>
      <c r="D35" s="55">
        <f t="shared" si="0"/>
        <v>2.9394393794166359E-2</v>
      </c>
      <c r="E35" s="20"/>
    </row>
    <row r="36" spans="1:7" ht="15.75" customHeight="1" x14ac:dyDescent="0.3">
      <c r="C36" s="62">
        <v>544.95000000000005</v>
      </c>
      <c r="D36" s="55">
        <f t="shared" si="0"/>
        <v>-1.7241332670886886E-2</v>
      </c>
      <c r="E36" s="20"/>
    </row>
    <row r="37" spans="1:7" ht="15.75" customHeight="1" x14ac:dyDescent="0.3">
      <c r="C37" s="62">
        <v>555.47</v>
      </c>
      <c r="D37" s="55">
        <f t="shared" si="0"/>
        <v>1.7303549707357428E-3</v>
      </c>
      <c r="E37" s="20"/>
    </row>
    <row r="38" spans="1:7" ht="15.75" customHeight="1" x14ac:dyDescent="0.3">
      <c r="C38" s="62">
        <v>567.04999999999995</v>
      </c>
      <c r="D38" s="55">
        <f t="shared" si="0"/>
        <v>2.2613638515411507E-2</v>
      </c>
      <c r="E38" s="20"/>
    </row>
    <row r="39" spans="1:7" ht="15.75" customHeight="1" x14ac:dyDescent="0.3">
      <c r="C39" s="62">
        <v>555.88</v>
      </c>
      <c r="D39" s="55">
        <f t="shared" si="0"/>
        <v>2.4697458388977852E-3</v>
      </c>
      <c r="E39" s="20"/>
    </row>
    <row r="40" spans="1:7" ht="15.75" customHeight="1" x14ac:dyDescent="0.3">
      <c r="C40" s="62">
        <v>544.29999999999995</v>
      </c>
      <c r="D40" s="55">
        <f t="shared" si="0"/>
        <v>-1.8413537705778183E-2</v>
      </c>
      <c r="E40" s="20"/>
    </row>
    <row r="41" spans="1:7" ht="15.75" customHeight="1" x14ac:dyDescent="0.3">
      <c r="C41" s="62">
        <v>548.66999999999996</v>
      </c>
      <c r="D41" s="55">
        <f t="shared" si="0"/>
        <v>-1.0532713086587013E-2</v>
      </c>
      <c r="E41" s="20"/>
    </row>
    <row r="42" spans="1:7" ht="15.75" customHeight="1" x14ac:dyDescent="0.3">
      <c r="C42" s="62">
        <v>533.91</v>
      </c>
      <c r="D42" s="55">
        <f t="shared" si="0"/>
        <v>-3.7150784340422592E-2</v>
      </c>
      <c r="E42" s="20"/>
    </row>
    <row r="43" spans="1:7" ht="16.5" customHeight="1" x14ac:dyDescent="0.3">
      <c r="C43" s="63">
        <v>556.41999999999996</v>
      </c>
      <c r="D43" s="56">
        <f t="shared" si="0"/>
        <v>3.4435777140380463E-3</v>
      </c>
      <c r="E43" s="20"/>
    </row>
    <row r="44" spans="1:7" ht="16.5" customHeight="1" x14ac:dyDescent="0.3">
      <c r="C44" s="21"/>
      <c r="D44" s="20"/>
      <c r="E44" s="22"/>
    </row>
    <row r="45" spans="1:7" ht="16.5" customHeight="1" x14ac:dyDescent="0.3">
      <c r="B45" s="49" t="s">
        <v>38</v>
      </c>
      <c r="C45" s="50">
        <f>SUM(C24:C44)</f>
        <v>11090.209999999997</v>
      </c>
      <c r="D45" s="45"/>
      <c r="E45" s="21"/>
    </row>
    <row r="46" spans="1:7" ht="17.25" customHeight="1" x14ac:dyDescent="0.3">
      <c r="B46" s="49" t="s">
        <v>39</v>
      </c>
      <c r="C46" s="51">
        <f>AVERAGE(C24:C44)</f>
        <v>554.51049999999987</v>
      </c>
      <c r="E46" s="23"/>
    </row>
    <row r="47" spans="1:7" ht="17.25" customHeight="1" x14ac:dyDescent="0.3">
      <c r="A47" s="27"/>
      <c r="B47" s="46"/>
      <c r="D47" s="25"/>
      <c r="E47" s="23"/>
    </row>
    <row r="48" spans="1:7" ht="33.75" customHeight="1" x14ac:dyDescent="0.3">
      <c r="B48" s="59" t="s">
        <v>39</v>
      </c>
      <c r="C48" s="52" t="s">
        <v>40</v>
      </c>
      <c r="D48" s="47"/>
      <c r="G48" s="25"/>
    </row>
    <row r="49" spans="1:6" ht="17.25" customHeight="1" x14ac:dyDescent="0.3">
      <c r="B49" s="427">
        <f>C46</f>
        <v>554.51049999999987</v>
      </c>
      <c r="C49" s="60">
        <f>-IF(C46&lt;=80,10%,IF(C46&lt;250,7.5%,5%))</f>
        <v>-0.05</v>
      </c>
      <c r="D49" s="48">
        <f>IF(C46&lt;=80,C46*0.9,IF(C46&lt;250,C46*0.925,C46*0.95))</f>
        <v>526.7849749999998</v>
      </c>
    </row>
    <row r="50" spans="1:6" ht="17.25" customHeight="1" x14ac:dyDescent="0.3">
      <c r="B50" s="428"/>
      <c r="C50" s="61">
        <f>IF(C46&lt;=80, 10%, IF(C46&lt;250, 7.5%, 5%))</f>
        <v>0.05</v>
      </c>
      <c r="D50" s="48">
        <f>IF(C46&lt;=80, C46*1.1, IF(C46&lt;250, C46*1.075, C46*1.05))</f>
        <v>582.23602499999993</v>
      </c>
    </row>
    <row r="51" spans="1:6" ht="16.5" customHeight="1" x14ac:dyDescent="0.3">
      <c r="A51" s="30"/>
      <c r="B51" s="31"/>
      <c r="C51" s="27"/>
      <c r="D51" s="32"/>
      <c r="E51" s="27"/>
      <c r="F51" s="33"/>
    </row>
    <row r="52" spans="1:6" ht="16.5" customHeight="1" x14ac:dyDescent="0.3">
      <c r="A52" s="27"/>
      <c r="B52" s="34" t="s">
        <v>22</v>
      </c>
      <c r="C52" s="34"/>
      <c r="D52" s="35" t="s">
        <v>23</v>
      </c>
      <c r="E52" s="36"/>
      <c r="F52" s="35" t="s">
        <v>24</v>
      </c>
    </row>
    <row r="53" spans="1:6" ht="34.5" customHeight="1" x14ac:dyDescent="0.3">
      <c r="A53" s="37" t="s">
        <v>25</v>
      </c>
      <c r="B53" s="38"/>
      <c r="C53" s="39"/>
      <c r="D53" s="38"/>
      <c r="E53" s="28"/>
      <c r="F53" s="40"/>
    </row>
    <row r="54" spans="1:6" ht="34.5" customHeight="1" x14ac:dyDescent="0.3">
      <c r="A54" s="37" t="s">
        <v>26</v>
      </c>
      <c r="B54" s="41"/>
      <c r="C54" s="42"/>
      <c r="D54" s="41"/>
      <c r="E54" s="28"/>
      <c r="F54" s="43"/>
    </row>
  </sheetData>
  <sheetProtection formatCells="0" formatColumns="0" formatRows="0" insertColumns="0" insertRows="0" insertHyperlinks="0" deleteColumns="0" deleteRows="0" sort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0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19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18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17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16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15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14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13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12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11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0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9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8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7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6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5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4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3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2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0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blackAndWhite="1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0"/>
  <sheetViews>
    <sheetView view="pageBreakPreview" topLeftCell="A4" zoomScale="60" zoomScaleNormal="75" zoomScalePageLayoutView="5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42578125" style="2" customWidth="1"/>
    <col min="10" max="10" width="21.28515625" style="2" customWidth="1"/>
    <col min="11" max="11" width="9.140625" style="2" customWidth="1"/>
  </cols>
  <sheetData>
    <row r="1" spans="1:8" x14ac:dyDescent="0.25">
      <c r="A1" s="463" t="s">
        <v>41</v>
      </c>
      <c r="B1" s="463"/>
      <c r="C1" s="463"/>
      <c r="D1" s="463"/>
      <c r="E1" s="463"/>
      <c r="F1" s="463"/>
      <c r="G1" s="463"/>
      <c r="H1" s="463"/>
    </row>
    <row r="2" spans="1:8" x14ac:dyDescent="0.25">
      <c r="A2" s="463"/>
      <c r="B2" s="463"/>
      <c r="C2" s="463"/>
      <c r="D2" s="463"/>
      <c r="E2" s="463"/>
      <c r="F2" s="463"/>
      <c r="G2" s="463"/>
      <c r="H2" s="463"/>
    </row>
    <row r="3" spans="1:8" x14ac:dyDescent="0.25">
      <c r="A3" s="463"/>
      <c r="B3" s="463"/>
      <c r="C3" s="463"/>
      <c r="D3" s="463"/>
      <c r="E3" s="463"/>
      <c r="F3" s="463"/>
      <c r="G3" s="463"/>
      <c r="H3" s="463"/>
    </row>
    <row r="4" spans="1:8" x14ac:dyDescent="0.25">
      <c r="A4" s="463"/>
      <c r="B4" s="463"/>
      <c r="C4" s="463"/>
      <c r="D4" s="463"/>
      <c r="E4" s="463"/>
      <c r="F4" s="463"/>
      <c r="G4" s="463"/>
      <c r="H4" s="463"/>
    </row>
    <row r="5" spans="1:8" x14ac:dyDescent="0.25">
      <c r="A5" s="463"/>
      <c r="B5" s="463"/>
      <c r="C5" s="463"/>
      <c r="D5" s="463"/>
      <c r="E5" s="463"/>
      <c r="F5" s="463"/>
      <c r="G5" s="463"/>
      <c r="H5" s="463"/>
    </row>
    <row r="6" spans="1:8" x14ac:dyDescent="0.25">
      <c r="A6" s="463"/>
      <c r="B6" s="463"/>
      <c r="C6" s="463"/>
      <c r="D6" s="463"/>
      <c r="E6" s="463"/>
      <c r="F6" s="463"/>
      <c r="G6" s="463"/>
      <c r="H6" s="463"/>
    </row>
    <row r="7" spans="1:8" x14ac:dyDescent="0.25">
      <c r="A7" s="463"/>
      <c r="B7" s="463"/>
      <c r="C7" s="463"/>
      <c r="D7" s="463"/>
      <c r="E7" s="463"/>
      <c r="F7" s="463"/>
      <c r="G7" s="463"/>
      <c r="H7" s="463"/>
    </row>
    <row r="8" spans="1:8" x14ac:dyDescent="0.25">
      <c r="A8" s="464" t="s">
        <v>42</v>
      </c>
      <c r="B8" s="464"/>
      <c r="C8" s="464"/>
      <c r="D8" s="464"/>
      <c r="E8" s="464"/>
      <c r="F8" s="464"/>
      <c r="G8" s="464"/>
      <c r="H8" s="464"/>
    </row>
    <row r="9" spans="1:8" x14ac:dyDescent="0.25">
      <c r="A9" s="464"/>
      <c r="B9" s="464"/>
      <c r="C9" s="464"/>
      <c r="D9" s="464"/>
      <c r="E9" s="464"/>
      <c r="F9" s="464"/>
      <c r="G9" s="464"/>
      <c r="H9" s="464"/>
    </row>
    <row r="10" spans="1:8" x14ac:dyDescent="0.25">
      <c r="A10" s="464"/>
      <c r="B10" s="464"/>
      <c r="C10" s="464"/>
      <c r="D10" s="464"/>
      <c r="E10" s="464"/>
      <c r="F10" s="464"/>
      <c r="G10" s="464"/>
      <c r="H10" s="464"/>
    </row>
    <row r="11" spans="1:8" x14ac:dyDescent="0.25">
      <c r="A11" s="464"/>
      <c r="B11" s="464"/>
      <c r="C11" s="464"/>
      <c r="D11" s="464"/>
      <c r="E11" s="464"/>
      <c r="F11" s="464"/>
      <c r="G11" s="464"/>
      <c r="H11" s="464"/>
    </row>
    <row r="12" spans="1:8" x14ac:dyDescent="0.25">
      <c r="A12" s="464"/>
      <c r="B12" s="464"/>
      <c r="C12" s="464"/>
      <c r="D12" s="464"/>
      <c r="E12" s="464"/>
      <c r="F12" s="464"/>
      <c r="G12" s="464"/>
      <c r="H12" s="464"/>
    </row>
    <row r="13" spans="1:8" x14ac:dyDescent="0.25">
      <c r="A13" s="464"/>
      <c r="B13" s="464"/>
      <c r="C13" s="464"/>
      <c r="D13" s="464"/>
      <c r="E13" s="464"/>
      <c r="F13" s="464"/>
      <c r="G13" s="464"/>
      <c r="H13" s="464"/>
    </row>
    <row r="14" spans="1:8" x14ac:dyDescent="0.25">
      <c r="A14" s="464"/>
      <c r="B14" s="464"/>
      <c r="C14" s="464"/>
      <c r="D14" s="464"/>
      <c r="E14" s="464"/>
      <c r="F14" s="464"/>
      <c r="G14" s="464"/>
      <c r="H14" s="464"/>
    </row>
    <row r="15" spans="1:8" ht="19.5" customHeight="1" x14ac:dyDescent="0.25"/>
    <row r="16" spans="1:8" ht="19.5" customHeight="1" x14ac:dyDescent="0.25">
      <c r="A16" s="465" t="s">
        <v>27</v>
      </c>
      <c r="B16" s="466"/>
      <c r="C16" s="466"/>
      <c r="D16" s="466"/>
      <c r="E16" s="466"/>
      <c r="F16" s="466"/>
      <c r="G16" s="466"/>
      <c r="H16" s="467"/>
    </row>
    <row r="17" spans="1:13" ht="18.75" x14ac:dyDescent="0.3">
      <c r="A17" s="221" t="s">
        <v>43</v>
      </c>
      <c r="B17" s="221"/>
    </row>
    <row r="18" spans="1:13" ht="18.75" x14ac:dyDescent="0.3">
      <c r="A18" s="223" t="s">
        <v>29</v>
      </c>
      <c r="B18" s="469" t="s">
        <v>5</v>
      </c>
      <c r="C18" s="469"/>
      <c r="D18" s="314"/>
      <c r="E18" s="314"/>
    </row>
    <row r="19" spans="1:13" ht="18.75" x14ac:dyDescent="0.3">
      <c r="A19" s="223" t="s">
        <v>30</v>
      </c>
      <c r="B19" s="315" t="s">
        <v>7</v>
      </c>
      <c r="C19" s="366">
        <v>35</v>
      </c>
    </row>
    <row r="20" spans="1:13" ht="18.75" x14ac:dyDescent="0.3">
      <c r="A20" s="223" t="s">
        <v>31</v>
      </c>
      <c r="B20" s="315" t="s">
        <v>9</v>
      </c>
      <c r="C20" s="336"/>
    </row>
    <row r="21" spans="1:13" ht="18.75" x14ac:dyDescent="0.3">
      <c r="A21" s="223" t="s">
        <v>32</v>
      </c>
      <c r="B21" s="340" t="s">
        <v>11</v>
      </c>
      <c r="C21" s="340"/>
      <c r="D21" s="340"/>
      <c r="E21" s="340"/>
      <c r="F21" s="340"/>
      <c r="G21" s="340"/>
      <c r="H21" s="340"/>
    </row>
    <row r="22" spans="1:13" ht="18.75" x14ac:dyDescent="0.3">
      <c r="A22" s="223" t="s">
        <v>33</v>
      </c>
      <c r="B22" s="316" t="s">
        <v>120</v>
      </c>
    </row>
    <row r="23" spans="1:13" ht="18.75" x14ac:dyDescent="0.3">
      <c r="A23" s="223" t="s">
        <v>34</v>
      </c>
      <c r="B23" s="316" t="s">
        <v>121</v>
      </c>
    </row>
    <row r="24" spans="1:13" ht="18.75" x14ac:dyDescent="0.3">
      <c r="A24" s="223"/>
      <c r="B24" s="226"/>
    </row>
    <row r="25" spans="1:13" ht="18.75" x14ac:dyDescent="0.3">
      <c r="A25" s="227" t="s">
        <v>1</v>
      </c>
      <c r="B25" s="226"/>
    </row>
    <row r="26" spans="1:13" ht="26.25" customHeight="1" x14ac:dyDescent="0.4">
      <c r="A26" s="228" t="s">
        <v>4</v>
      </c>
      <c r="B26" s="468" t="s">
        <v>117</v>
      </c>
      <c r="C26" s="468"/>
    </row>
    <row r="27" spans="1:13" ht="26.25" customHeight="1" x14ac:dyDescent="0.4">
      <c r="A27" s="230" t="s">
        <v>44</v>
      </c>
      <c r="B27" s="368" t="s">
        <v>114</v>
      </c>
    </row>
    <row r="28" spans="1:13" ht="27" customHeight="1" x14ac:dyDescent="0.4">
      <c r="A28" s="230" t="s">
        <v>6</v>
      </c>
      <c r="B28" s="369">
        <v>99.8</v>
      </c>
    </row>
    <row r="29" spans="1:13" s="5" customFormat="1" ht="27" customHeight="1" x14ac:dyDescent="0.4">
      <c r="A29" s="230" t="s">
        <v>45</v>
      </c>
      <c r="B29" s="368">
        <v>0</v>
      </c>
      <c r="C29" s="437" t="s">
        <v>46</v>
      </c>
      <c r="D29" s="438"/>
      <c r="E29" s="438"/>
      <c r="F29" s="438"/>
      <c r="G29" s="439"/>
      <c r="I29" s="232"/>
      <c r="J29" s="232"/>
      <c r="K29" s="232"/>
    </row>
    <row r="30" spans="1:13" s="5" customFormat="1" ht="19.5" customHeight="1" x14ac:dyDescent="0.3">
      <c r="A30" s="230" t="s">
        <v>47</v>
      </c>
      <c r="B30" s="229">
        <f>B28-B29</f>
        <v>99.8</v>
      </c>
      <c r="C30" s="233"/>
      <c r="D30" s="233"/>
      <c r="E30" s="233"/>
      <c r="F30" s="233"/>
      <c r="G30" s="234"/>
      <c r="I30" s="232"/>
      <c r="J30" s="232"/>
      <c r="K30" s="232"/>
    </row>
    <row r="31" spans="1:13" s="5" customFormat="1" ht="27" customHeight="1" x14ac:dyDescent="0.4">
      <c r="A31" s="230" t="s">
        <v>48</v>
      </c>
      <c r="B31" s="370">
        <v>1</v>
      </c>
      <c r="C31" s="442" t="s">
        <v>49</v>
      </c>
      <c r="D31" s="443"/>
      <c r="E31" s="443"/>
      <c r="F31" s="443"/>
      <c r="G31" s="443"/>
      <c r="H31" s="444"/>
      <c r="I31" s="232"/>
      <c r="J31" s="232"/>
      <c r="K31" s="232"/>
    </row>
    <row r="32" spans="1:13" s="5" customFormat="1" ht="27" customHeight="1" x14ac:dyDescent="0.4">
      <c r="A32" s="230" t="s">
        <v>50</v>
      </c>
      <c r="B32" s="370">
        <v>1</v>
      </c>
      <c r="C32" s="442" t="s">
        <v>51</v>
      </c>
      <c r="D32" s="443"/>
      <c r="E32" s="443"/>
      <c r="F32" s="443"/>
      <c r="G32" s="443"/>
      <c r="H32" s="444"/>
      <c r="I32" s="232"/>
      <c r="J32" s="232"/>
      <c r="K32" s="236"/>
      <c r="L32" s="236"/>
      <c r="M32" s="237"/>
    </row>
    <row r="33" spans="1:13" s="5" customFormat="1" ht="17.25" customHeight="1" x14ac:dyDescent="0.3">
      <c r="A33" s="230"/>
      <c r="B33" s="235"/>
      <c r="C33" s="238"/>
      <c r="D33" s="238"/>
      <c r="E33" s="238"/>
      <c r="F33" s="238"/>
      <c r="G33" s="238"/>
      <c r="H33" s="238"/>
      <c r="I33" s="232"/>
      <c r="J33" s="232"/>
      <c r="K33" s="236"/>
      <c r="L33" s="236"/>
      <c r="M33" s="237"/>
    </row>
    <row r="34" spans="1:13" s="5" customFormat="1" ht="18.75" x14ac:dyDescent="0.3">
      <c r="A34" s="230" t="s">
        <v>52</v>
      </c>
      <c r="B34" s="239">
        <f>B31/B32</f>
        <v>1</v>
      </c>
      <c r="C34" s="222" t="s">
        <v>53</v>
      </c>
      <c r="D34" s="222"/>
      <c r="E34" s="222"/>
      <c r="F34" s="222"/>
      <c r="G34" s="222"/>
      <c r="I34" s="232"/>
      <c r="J34" s="232"/>
      <c r="K34" s="236"/>
      <c r="L34" s="236"/>
      <c r="M34" s="237"/>
    </row>
    <row r="35" spans="1:13" s="5" customFormat="1" ht="19.5" customHeight="1" x14ac:dyDescent="0.3">
      <c r="A35" s="230"/>
      <c r="B35" s="229"/>
      <c r="G35" s="222"/>
      <c r="I35" s="232"/>
      <c r="J35" s="232"/>
      <c r="K35" s="236"/>
      <c r="L35" s="236"/>
      <c r="M35" s="237"/>
    </row>
    <row r="36" spans="1:13" s="5" customFormat="1" ht="27" customHeight="1" x14ac:dyDescent="0.4">
      <c r="A36" s="240" t="s">
        <v>54</v>
      </c>
      <c r="B36" s="371">
        <v>100</v>
      </c>
      <c r="C36" s="222"/>
      <c r="D36" s="440" t="s">
        <v>55</v>
      </c>
      <c r="E36" s="452"/>
      <c r="F36" s="440" t="s">
        <v>56</v>
      </c>
      <c r="G36" s="441"/>
      <c r="I36" s="232"/>
      <c r="J36" s="232"/>
      <c r="K36" s="236"/>
      <c r="L36" s="236"/>
      <c r="M36" s="237"/>
    </row>
    <row r="37" spans="1:13" s="5" customFormat="1" ht="26.25" customHeight="1" x14ac:dyDescent="0.4">
      <c r="A37" s="241" t="s">
        <v>57</v>
      </c>
      <c r="B37" s="372">
        <v>1</v>
      </c>
      <c r="C37" s="243" t="s">
        <v>58</v>
      </c>
      <c r="D37" s="244" t="s">
        <v>59</v>
      </c>
      <c r="E37" s="301" t="s">
        <v>60</v>
      </c>
      <c r="F37" s="244" t="s">
        <v>59</v>
      </c>
      <c r="G37" s="245" t="s">
        <v>60</v>
      </c>
      <c r="I37" s="232"/>
      <c r="J37" s="232"/>
      <c r="K37" s="236"/>
      <c r="L37" s="236"/>
      <c r="M37" s="237"/>
    </row>
    <row r="38" spans="1:13" s="5" customFormat="1" ht="26.25" customHeight="1" x14ac:dyDescent="0.4">
      <c r="A38" s="241" t="s">
        <v>61</v>
      </c>
      <c r="B38" s="372">
        <v>1</v>
      </c>
      <c r="C38" s="246">
        <v>1</v>
      </c>
      <c r="D38" s="399">
        <v>2445795</v>
      </c>
      <c r="E38" s="317">
        <f>IF(ISBLANK(D38),"-",$D$48/$D$45*D38)</f>
        <v>2246284.5030115223</v>
      </c>
      <c r="F38" s="373">
        <v>2363403</v>
      </c>
      <c r="G38" s="320">
        <f>IF(ISBLANK(F38),"-",$D$48/$F$45*F38)</f>
        <v>2247877.8154315273</v>
      </c>
      <c r="I38" s="232"/>
      <c r="J38" s="232"/>
      <c r="K38" s="236"/>
      <c r="L38" s="236"/>
      <c r="M38" s="237"/>
    </row>
    <row r="39" spans="1:13" s="5" customFormat="1" ht="26.25" customHeight="1" x14ac:dyDescent="0.4">
      <c r="A39" s="241" t="s">
        <v>62</v>
      </c>
      <c r="B39" s="372">
        <v>1</v>
      </c>
      <c r="C39" s="242">
        <v>2</v>
      </c>
      <c r="D39" s="399">
        <v>2453895</v>
      </c>
      <c r="E39" s="318">
        <f>IF(ISBLANK(D39),"-",$D$48/$D$45*D39)</f>
        <v>2253723.7628327231</v>
      </c>
      <c r="F39" s="373">
        <v>2367855</v>
      </c>
      <c r="G39" s="321">
        <f>IF(ISBLANK(F39),"-",$D$48/$F$45*F39)</f>
        <v>2252112.1978175617</v>
      </c>
      <c r="I39" s="232"/>
      <c r="J39" s="232"/>
      <c r="K39" s="236"/>
      <c r="L39" s="236"/>
      <c r="M39" s="237"/>
    </row>
    <row r="40" spans="1:13" ht="26.25" customHeight="1" x14ac:dyDescent="0.4">
      <c r="A40" s="241" t="s">
        <v>63</v>
      </c>
      <c r="B40" s="372">
        <v>1</v>
      </c>
      <c r="C40" s="242">
        <v>3</v>
      </c>
      <c r="D40" s="399">
        <v>2446125</v>
      </c>
      <c r="E40" s="318">
        <f>IF(ISBLANK(D40),"-",$D$48/$D$45*D40)</f>
        <v>2246587.5839672009</v>
      </c>
      <c r="F40" s="373">
        <v>2364427</v>
      </c>
      <c r="G40" s="321">
        <f>IF(ISBLANK(F40),"-",$D$48/$F$45*F40)</f>
        <v>2248851.7614250807</v>
      </c>
      <c r="K40" s="236"/>
      <c r="L40" s="236"/>
      <c r="M40" s="248"/>
    </row>
    <row r="41" spans="1:13" ht="26.25" customHeight="1" x14ac:dyDescent="0.4">
      <c r="A41" s="241" t="s">
        <v>64</v>
      </c>
      <c r="B41" s="372">
        <v>1</v>
      </c>
      <c r="C41" s="249">
        <v>4</v>
      </c>
      <c r="D41" s="375">
        <v>2434205</v>
      </c>
      <c r="E41" s="319">
        <f>IF(ISBLANK(D41),"-",$D$48/$D$45*D41)</f>
        <v>2235639.9324772367</v>
      </c>
      <c r="F41" s="375">
        <v>2353511</v>
      </c>
      <c r="G41" s="322">
        <f>IF(ISBLANK(F41),"-",$D$48/$F$45*F41)</f>
        <v>2238469.3449547407</v>
      </c>
      <c r="K41" s="236"/>
      <c r="L41" s="236"/>
      <c r="M41" s="248"/>
    </row>
    <row r="42" spans="1:13" ht="27" customHeight="1" thickBot="1" x14ac:dyDescent="0.45">
      <c r="A42" s="241" t="s">
        <v>65</v>
      </c>
      <c r="B42" s="372">
        <v>1</v>
      </c>
      <c r="C42" s="251" t="s">
        <v>66</v>
      </c>
      <c r="D42" s="252">
        <f>AVERAGE(D38:D41)</f>
        <v>2445005</v>
      </c>
      <c r="E42" s="276">
        <f>AVERAGE(E38:E41)</f>
        <v>2245558.9455721704</v>
      </c>
      <c r="F42" s="252">
        <f>AVERAGE(F38:F41)</f>
        <v>2362299</v>
      </c>
      <c r="G42" s="253">
        <f>AVERAGE(G38:G41)</f>
        <v>2246827.7799072275</v>
      </c>
      <c r="H42" s="337"/>
    </row>
    <row r="43" spans="1:13" ht="26.25" customHeight="1" x14ac:dyDescent="0.4">
      <c r="A43" s="241" t="s">
        <v>67</v>
      </c>
      <c r="B43" s="369">
        <v>1</v>
      </c>
      <c r="C43" s="351" t="s">
        <v>68</v>
      </c>
      <c r="D43" s="376">
        <v>21.82</v>
      </c>
      <c r="E43" s="366"/>
      <c r="F43" s="376">
        <v>21.07</v>
      </c>
      <c r="G43" s="336"/>
      <c r="H43" s="337"/>
    </row>
    <row r="44" spans="1:13" ht="26.25" customHeight="1" x14ac:dyDescent="0.4">
      <c r="A44" s="241" t="s">
        <v>69</v>
      </c>
      <c r="B44" s="369">
        <v>1</v>
      </c>
      <c r="C44" s="352" t="s">
        <v>70</v>
      </c>
      <c r="D44" s="353">
        <f>D43*$B$34</f>
        <v>21.82</v>
      </c>
      <c r="E44" s="255"/>
      <c r="F44" s="254">
        <f>F43*$B$34</f>
        <v>21.07</v>
      </c>
      <c r="H44" s="337"/>
    </row>
    <row r="45" spans="1:13" ht="19.5" customHeight="1" x14ac:dyDescent="0.3">
      <c r="A45" s="241" t="s">
        <v>71</v>
      </c>
      <c r="B45" s="350">
        <f>(B44/B43)*(B42/B41)*(B40/B39)*(B38/B37)*B36</f>
        <v>100</v>
      </c>
      <c r="C45" s="352" t="s">
        <v>72</v>
      </c>
      <c r="D45" s="354">
        <f>D44*$B$30/100</f>
        <v>21.77636</v>
      </c>
      <c r="E45" s="257"/>
      <c r="F45" s="256">
        <f>F44*$B$30/100</f>
        <v>21.02786</v>
      </c>
      <c r="H45" s="337"/>
    </row>
    <row r="46" spans="1:13" ht="19.5" customHeight="1" x14ac:dyDescent="0.3">
      <c r="A46" s="453" t="s">
        <v>73</v>
      </c>
      <c r="B46" s="457"/>
      <c r="C46" s="352" t="s">
        <v>74</v>
      </c>
      <c r="D46" s="353">
        <f>D45/$B$45</f>
        <v>0.2177636</v>
      </c>
      <c r="E46" s="257"/>
      <c r="F46" s="258">
        <f>F45/$B$45</f>
        <v>0.21027860000000001</v>
      </c>
      <c r="H46" s="337"/>
    </row>
    <row r="47" spans="1:13" ht="27" customHeight="1" x14ac:dyDescent="0.4">
      <c r="A47" s="455"/>
      <c r="B47" s="458"/>
      <c r="C47" s="352" t="s">
        <v>75</v>
      </c>
      <c r="D47" s="377">
        <v>0.2</v>
      </c>
      <c r="F47" s="260"/>
      <c r="H47" s="337"/>
    </row>
    <row r="48" spans="1:13" ht="18.75" x14ac:dyDescent="0.3">
      <c r="C48" s="352" t="s">
        <v>76</v>
      </c>
      <c r="D48" s="353">
        <f>D47*$B$45</f>
        <v>20</v>
      </c>
      <c r="F48" s="260"/>
      <c r="H48" s="337"/>
    </row>
    <row r="49" spans="1:11" ht="19.5" customHeight="1" x14ac:dyDescent="0.3">
      <c r="C49" s="355" t="s">
        <v>77</v>
      </c>
      <c r="D49" s="356">
        <f>D48/B34</f>
        <v>20</v>
      </c>
      <c r="F49" s="263"/>
      <c r="H49" s="337"/>
    </row>
    <row r="50" spans="1:11" ht="18.75" x14ac:dyDescent="0.3">
      <c r="C50" s="357" t="s">
        <v>78</v>
      </c>
      <c r="D50" s="358">
        <f>AVERAGE(E38:E41,G38:G41)</f>
        <v>2246193.362739699</v>
      </c>
      <c r="F50" s="263"/>
      <c r="H50" s="337"/>
    </row>
    <row r="51" spans="1:11" ht="18.75" x14ac:dyDescent="0.3">
      <c r="C51" s="259" t="s">
        <v>79</v>
      </c>
      <c r="D51" s="264">
        <f>STDEV(E38:E41,G38:G41)/D50</f>
        <v>2.7794591369649192E-3</v>
      </c>
      <c r="F51" s="263"/>
    </row>
    <row r="52" spans="1:11" ht="19.5" customHeight="1" x14ac:dyDescent="0.3">
      <c r="C52" s="261" t="s">
        <v>19</v>
      </c>
      <c r="D52" s="265">
        <f>COUNT(E38:E41,G38:G41)</f>
        <v>8</v>
      </c>
      <c r="F52" s="263"/>
    </row>
    <row r="54" spans="1:11" ht="18.75" x14ac:dyDescent="0.3">
      <c r="A54" s="221" t="s">
        <v>1</v>
      </c>
      <c r="B54" s="266" t="s">
        <v>80</v>
      </c>
    </row>
    <row r="55" spans="1:11" ht="18.75" x14ac:dyDescent="0.3">
      <c r="A55" s="222" t="s">
        <v>81</v>
      </c>
      <c r="B55" s="225" t="str">
        <f>B21</f>
        <v>Each tablet contains:
Artemether 40 mg
Lumefantrine 240 mg</v>
      </c>
    </row>
    <row r="56" spans="1:11" ht="26.25" customHeight="1" x14ac:dyDescent="0.4">
      <c r="A56" s="224" t="s">
        <v>82</v>
      </c>
      <c r="B56" s="368">
        <v>40</v>
      </c>
      <c r="C56" s="222" t="str">
        <f>B20</f>
        <v xml:space="preserve">Artemether  Lumefantrine </v>
      </c>
      <c r="H56" s="231"/>
    </row>
    <row r="57" spans="1:11" ht="18.75" x14ac:dyDescent="0.3">
      <c r="A57" s="225" t="s">
        <v>83</v>
      </c>
      <c r="B57" s="395">
        <f>Uniformity!C46</f>
        <v>554.51049999999987</v>
      </c>
      <c r="H57" s="231"/>
    </row>
    <row r="58" spans="1:11" ht="19.5" customHeight="1" x14ac:dyDescent="0.3">
      <c r="H58" s="231"/>
    </row>
    <row r="59" spans="1:11" s="5" customFormat="1" ht="27" customHeight="1" x14ac:dyDescent="0.4">
      <c r="A59" s="240" t="s">
        <v>84</v>
      </c>
      <c r="B59" s="371">
        <v>50</v>
      </c>
      <c r="C59" s="222"/>
      <c r="D59" s="268" t="s">
        <v>85</v>
      </c>
      <c r="E59" s="267" t="s">
        <v>86</v>
      </c>
      <c r="F59" s="267" t="s">
        <v>59</v>
      </c>
      <c r="G59" s="267" t="s">
        <v>87</v>
      </c>
      <c r="H59" s="243" t="s">
        <v>88</v>
      </c>
      <c r="K59" s="232"/>
    </row>
    <row r="60" spans="1:11" s="5" customFormat="1" ht="22.5" customHeight="1" x14ac:dyDescent="0.4">
      <c r="A60" s="241" t="s">
        <v>89</v>
      </c>
      <c r="B60" s="372">
        <v>1</v>
      </c>
      <c r="C60" s="445" t="s">
        <v>90</v>
      </c>
      <c r="D60" s="449">
        <v>139.16</v>
      </c>
      <c r="E60" s="269">
        <v>1</v>
      </c>
      <c r="F60" s="379">
        <v>2205675</v>
      </c>
      <c r="G60" s="305">
        <f>IF(ISBLANK(F60),"-",(F60/$D$50*$D$47*$B$68)*($B$57/$D$60))</f>
        <v>39.128187889433867</v>
      </c>
      <c r="H60" s="307">
        <f t="shared" ref="H60:H71" si="0">IF(ISBLANK(F60),"-",G60/$B$56)</f>
        <v>0.97820469723584669</v>
      </c>
      <c r="K60" s="232"/>
    </row>
    <row r="61" spans="1:11" s="5" customFormat="1" ht="26.25" customHeight="1" x14ac:dyDescent="0.4">
      <c r="A61" s="241" t="s">
        <v>91</v>
      </c>
      <c r="B61" s="372">
        <v>1</v>
      </c>
      <c r="C61" s="446"/>
      <c r="D61" s="450"/>
      <c r="E61" s="270">
        <v>2</v>
      </c>
      <c r="F61" s="374">
        <v>2228636</v>
      </c>
      <c r="G61" s="306">
        <f>IF(ISBLANK(F61),"-",(F61/$D$50*$D$47*$B$68)*($B$57/$D$60))</f>
        <v>39.53551096383481</v>
      </c>
      <c r="H61" s="308">
        <f t="shared" si="0"/>
        <v>0.9883877740958702</v>
      </c>
      <c r="K61" s="232"/>
    </row>
    <row r="62" spans="1:11" s="5" customFormat="1" ht="26.25" customHeight="1" x14ac:dyDescent="0.4">
      <c r="A62" s="241" t="s">
        <v>92</v>
      </c>
      <c r="B62" s="372">
        <v>1</v>
      </c>
      <c r="C62" s="446"/>
      <c r="D62" s="450"/>
      <c r="E62" s="270">
        <v>3</v>
      </c>
      <c r="F62" s="374">
        <v>2221841</v>
      </c>
      <c r="G62" s="306">
        <f>IF(ISBLANK(F62),"-",(F62/$D$50*$D$47*$B$68)*($B$57/$D$60))</f>
        <v>39.414969162930909</v>
      </c>
      <c r="H62" s="308">
        <f t="shared" si="0"/>
        <v>0.98537422907327277</v>
      </c>
      <c r="K62" s="232"/>
    </row>
    <row r="63" spans="1:11" ht="21" customHeight="1" x14ac:dyDescent="0.4">
      <c r="A63" s="241" t="s">
        <v>93</v>
      </c>
      <c r="B63" s="372">
        <v>1</v>
      </c>
      <c r="C63" s="447"/>
      <c r="D63" s="451"/>
      <c r="E63" s="271">
        <v>4</v>
      </c>
      <c r="F63" s="380"/>
      <c r="G63" s="306" t="str">
        <f>IF(ISBLANK(F63),"-",(F63/$D$50*$D$47*$B$68)*($B$57/$D$60))</f>
        <v>-</v>
      </c>
      <c r="H63" s="308" t="str">
        <f t="shared" si="0"/>
        <v>-</v>
      </c>
    </row>
    <row r="64" spans="1:11" ht="26.25" customHeight="1" x14ac:dyDescent="0.4">
      <c r="A64" s="241" t="s">
        <v>94</v>
      </c>
      <c r="B64" s="372">
        <v>1</v>
      </c>
      <c r="C64" s="445" t="s">
        <v>95</v>
      </c>
      <c r="D64" s="449">
        <v>139.82</v>
      </c>
      <c r="E64" s="269">
        <v>1</v>
      </c>
      <c r="F64" s="379">
        <v>2324748</v>
      </c>
      <c r="G64" s="333">
        <f>IF(ISBLANK(F64),"-",(F64/$D$50*$D$47*$B$68)*($B$57/$D$64))</f>
        <v>41.045846771567341</v>
      </c>
      <c r="H64" s="330">
        <f t="shared" si="0"/>
        <v>1.0261461692891836</v>
      </c>
    </row>
    <row r="65" spans="1:8" ht="26.25" customHeight="1" x14ac:dyDescent="0.4">
      <c r="A65" s="241" t="s">
        <v>96</v>
      </c>
      <c r="B65" s="372">
        <v>1</v>
      </c>
      <c r="C65" s="446"/>
      <c r="D65" s="450"/>
      <c r="E65" s="270">
        <v>2</v>
      </c>
      <c r="F65" s="374">
        <v>2312730</v>
      </c>
      <c r="G65" s="334">
        <f>IF(ISBLANK(F65),"-",(F65/$D$50*$D$47*$B$68)*($B$57/$D$64))</f>
        <v>40.83365646685445</v>
      </c>
      <c r="H65" s="331">
        <f t="shared" si="0"/>
        <v>1.0208414116713613</v>
      </c>
    </row>
    <row r="66" spans="1:8" ht="26.25" customHeight="1" x14ac:dyDescent="0.4">
      <c r="A66" s="241" t="s">
        <v>97</v>
      </c>
      <c r="B66" s="372">
        <v>1</v>
      </c>
      <c r="C66" s="446"/>
      <c r="D66" s="450"/>
      <c r="E66" s="270">
        <v>3</v>
      </c>
      <c r="F66" s="374">
        <v>2314130</v>
      </c>
      <c r="G66" s="334">
        <f>IF(ISBLANK(F66),"-",(F66/$D$50*$D$47*$B$68)*($B$57/$D$64))</f>
        <v>40.858374924717488</v>
      </c>
      <c r="H66" s="331">
        <f t="shared" si="0"/>
        <v>1.0214593731179371</v>
      </c>
    </row>
    <row r="67" spans="1:8" ht="21" customHeight="1" x14ac:dyDescent="0.4">
      <c r="A67" s="241" t="s">
        <v>98</v>
      </c>
      <c r="B67" s="372">
        <v>1</v>
      </c>
      <c r="C67" s="447"/>
      <c r="D67" s="451"/>
      <c r="E67" s="271">
        <v>4</v>
      </c>
      <c r="F67" s="380"/>
      <c r="G67" s="335" t="str">
        <f>IF(ISBLANK(F67),"-",(F67/$D$50*$D$47*$B$68)*($B$57/$D$64))</f>
        <v>-</v>
      </c>
      <c r="H67" s="332" t="str">
        <f t="shared" si="0"/>
        <v>-</v>
      </c>
    </row>
    <row r="68" spans="1:8" ht="21.75" customHeight="1" x14ac:dyDescent="0.4">
      <c r="A68" s="241" t="s">
        <v>99</v>
      </c>
      <c r="B68" s="342">
        <f>(B67/B66)*(B65/B64)*(B63/B62)*(B61/B60)*B59</f>
        <v>50</v>
      </c>
      <c r="C68" s="445" t="s">
        <v>100</v>
      </c>
      <c r="D68" s="449">
        <v>141.88999999999999</v>
      </c>
      <c r="E68" s="269">
        <v>1</v>
      </c>
      <c r="F68" s="379">
        <v>2287596</v>
      </c>
      <c r="G68" s="333">
        <f>IF(ISBLANK(F68),"-",(F68/$D$50*$D$47*$B$68)*($B$57/$D$68))</f>
        <v>39.800650879218558</v>
      </c>
      <c r="H68" s="308">
        <f t="shared" si="0"/>
        <v>0.99501627198046394</v>
      </c>
    </row>
    <row r="69" spans="1:8" ht="21.75" customHeight="1" x14ac:dyDescent="0.4">
      <c r="A69" s="359" t="s">
        <v>101</v>
      </c>
      <c r="B69" s="378">
        <f>D47*B68/B56*B57</f>
        <v>138.62762499999997</v>
      </c>
      <c r="C69" s="446"/>
      <c r="D69" s="450"/>
      <c r="E69" s="270">
        <v>2</v>
      </c>
      <c r="F69" s="374">
        <v>2284459</v>
      </c>
      <c r="G69" s="334">
        <f>IF(ISBLANK(F69),"-",(F69/$D$50*$D$47*$B$68)*($B$57/$D$68))</f>
        <v>39.746071905567568</v>
      </c>
      <c r="H69" s="308">
        <f t="shared" si="0"/>
        <v>0.9936517976391892</v>
      </c>
    </row>
    <row r="70" spans="1:8" ht="22.5" customHeight="1" x14ac:dyDescent="0.4">
      <c r="A70" s="459" t="s">
        <v>73</v>
      </c>
      <c r="B70" s="460"/>
      <c r="C70" s="446"/>
      <c r="D70" s="450"/>
      <c r="E70" s="270">
        <v>3</v>
      </c>
      <c r="F70" s="374">
        <v>2284783</v>
      </c>
      <c r="G70" s="334">
        <f>IF(ISBLANK(F70),"-",(F70/$D$50*$D$47*$B$68)*($B$57/$D$68))</f>
        <v>39.751709007085879</v>
      </c>
      <c r="H70" s="308">
        <f t="shared" si="0"/>
        <v>0.99379272517714701</v>
      </c>
    </row>
    <row r="71" spans="1:8" ht="21.75" customHeight="1" x14ac:dyDescent="0.4">
      <c r="A71" s="461"/>
      <c r="B71" s="462"/>
      <c r="C71" s="448"/>
      <c r="D71" s="451"/>
      <c r="E71" s="271">
        <v>4</v>
      </c>
      <c r="F71" s="380"/>
      <c r="G71" s="335" t="str">
        <f>IF(ISBLANK(F71),"-",(F71/$D$50*$D$47*$B$68)*($B$57/$D$68))</f>
        <v>-</v>
      </c>
      <c r="H71" s="309" t="str">
        <f t="shared" si="0"/>
        <v>-</v>
      </c>
    </row>
    <row r="72" spans="1:8" ht="26.25" customHeight="1" x14ac:dyDescent="0.4">
      <c r="A72" s="272"/>
      <c r="B72" s="272"/>
      <c r="C72" s="272"/>
      <c r="D72" s="272"/>
      <c r="E72" s="272"/>
      <c r="F72" s="273"/>
      <c r="G72" s="262" t="s">
        <v>66</v>
      </c>
      <c r="H72" s="381">
        <f>AVERAGE(H60:H71)</f>
        <v>1.0003193832533634</v>
      </c>
    </row>
    <row r="73" spans="1:8" ht="26.25" customHeight="1" x14ac:dyDescent="0.4">
      <c r="C73" s="272"/>
      <c r="D73" s="272"/>
      <c r="E73" s="272"/>
      <c r="F73" s="273"/>
      <c r="G73" s="259" t="s">
        <v>79</v>
      </c>
      <c r="H73" s="382">
        <f>STDEV(H60:H71)/H72</f>
        <v>1.7689804814067692E-2</v>
      </c>
    </row>
    <row r="74" spans="1:8" ht="27" customHeight="1" x14ac:dyDescent="0.4">
      <c r="A74" s="272"/>
      <c r="B74" s="272"/>
      <c r="C74" s="273"/>
      <c r="D74" s="273"/>
      <c r="E74" s="274"/>
      <c r="F74" s="273"/>
      <c r="G74" s="261" t="s">
        <v>19</v>
      </c>
      <c r="H74" s="383">
        <f>COUNT(H60:H71)</f>
        <v>9</v>
      </c>
    </row>
    <row r="75" spans="1:8" ht="18.75" x14ac:dyDescent="0.3">
      <c r="A75" s="272"/>
      <c r="B75" s="272"/>
      <c r="C75" s="273"/>
      <c r="D75" s="273"/>
      <c r="E75" s="274"/>
      <c r="F75" s="273"/>
      <c r="G75" s="294"/>
      <c r="H75" s="349"/>
    </row>
    <row r="76" spans="1:8" ht="18.75" x14ac:dyDescent="0.3">
      <c r="A76" s="228" t="s">
        <v>102</v>
      </c>
      <c r="B76" s="365" t="s">
        <v>103</v>
      </c>
      <c r="C76" s="435" t="str">
        <f>B20</f>
        <v xml:space="preserve">Artemether  Lumefantrine </v>
      </c>
      <c r="D76" s="435"/>
      <c r="E76" s="366" t="s">
        <v>115</v>
      </c>
      <c r="F76" s="366"/>
      <c r="G76" s="367">
        <f>H72</f>
        <v>1.0003193832533634</v>
      </c>
      <c r="H76" s="349"/>
    </row>
    <row r="77" spans="1:8" ht="18.75" x14ac:dyDescent="0.3">
      <c r="A77" s="272"/>
      <c r="B77" s="272"/>
      <c r="C77" s="273"/>
      <c r="D77" s="273"/>
      <c r="E77" s="274"/>
      <c r="F77" s="273"/>
      <c r="G77" s="294"/>
      <c r="H77" s="349"/>
    </row>
    <row r="78" spans="1:8" ht="26.25" customHeight="1" x14ac:dyDescent="0.4">
      <c r="A78" s="227" t="s">
        <v>105</v>
      </c>
      <c r="B78" s="227" t="s">
        <v>106</v>
      </c>
      <c r="D78" s="387" t="s">
        <v>107</v>
      </c>
    </row>
    <row r="79" spans="1:8" ht="18.75" x14ac:dyDescent="0.3">
      <c r="A79" s="227"/>
      <c r="B79" s="227"/>
    </row>
    <row r="80" spans="1:8" ht="26.25" customHeight="1" x14ac:dyDescent="0.4">
      <c r="A80" s="228" t="s">
        <v>4</v>
      </c>
      <c r="B80" s="468" t="str">
        <f>B26</f>
        <v>ARTEMETHER</v>
      </c>
      <c r="C80" s="468"/>
    </row>
    <row r="81" spans="1:11" ht="26.25" customHeight="1" x14ac:dyDescent="0.4">
      <c r="A81" s="230" t="s">
        <v>44</v>
      </c>
      <c r="B81" s="368" t="str">
        <f>B27</f>
        <v>F0J018</v>
      </c>
    </row>
    <row r="82" spans="1:11" ht="27" customHeight="1" x14ac:dyDescent="0.4">
      <c r="A82" s="230" t="s">
        <v>6</v>
      </c>
      <c r="B82" s="368">
        <f>B28</f>
        <v>99.8</v>
      </c>
    </row>
    <row r="83" spans="1:11" s="5" customFormat="1" ht="27" customHeight="1" x14ac:dyDescent="0.4">
      <c r="A83" s="230" t="s">
        <v>45</v>
      </c>
      <c r="B83" s="368">
        <f>B29</f>
        <v>0</v>
      </c>
      <c r="C83" s="437" t="s">
        <v>46</v>
      </c>
      <c r="D83" s="438"/>
      <c r="E83" s="438"/>
      <c r="F83" s="438"/>
      <c r="G83" s="439"/>
      <c r="I83" s="232"/>
      <c r="J83" s="232"/>
      <c r="K83" s="232"/>
    </row>
    <row r="84" spans="1:11" s="5" customFormat="1" ht="19.5" customHeight="1" x14ac:dyDescent="0.3">
      <c r="A84" s="230" t="s">
        <v>47</v>
      </c>
      <c r="B84" s="229">
        <f>B82-B83</f>
        <v>99.8</v>
      </c>
      <c r="C84" s="233"/>
      <c r="D84" s="233"/>
      <c r="E84" s="233"/>
      <c r="F84" s="233"/>
      <c r="G84" s="234"/>
      <c r="I84" s="232"/>
      <c r="J84" s="232"/>
      <c r="K84" s="232"/>
    </row>
    <row r="85" spans="1:11" s="5" customFormat="1" ht="27" customHeight="1" x14ac:dyDescent="0.4">
      <c r="A85" s="230" t="s">
        <v>48</v>
      </c>
      <c r="B85" s="370">
        <v>1</v>
      </c>
      <c r="C85" s="442" t="s">
        <v>49</v>
      </c>
      <c r="D85" s="443"/>
      <c r="E85" s="443"/>
      <c r="F85" s="443"/>
      <c r="G85" s="443"/>
      <c r="H85" s="444"/>
      <c r="I85" s="232"/>
      <c r="J85" s="232"/>
      <c r="K85" s="232"/>
    </row>
    <row r="86" spans="1:11" s="5" customFormat="1" ht="27" customHeight="1" x14ac:dyDescent="0.4">
      <c r="A86" s="230" t="s">
        <v>50</v>
      </c>
      <c r="B86" s="370">
        <v>1</v>
      </c>
      <c r="C86" s="442" t="s">
        <v>51</v>
      </c>
      <c r="D86" s="443"/>
      <c r="E86" s="443"/>
      <c r="F86" s="443"/>
      <c r="G86" s="443"/>
      <c r="H86" s="444"/>
      <c r="I86" s="232"/>
      <c r="J86" s="232"/>
      <c r="K86" s="232"/>
    </row>
    <row r="87" spans="1:11" s="5" customFormat="1" ht="18.75" x14ac:dyDescent="0.3">
      <c r="A87" s="230"/>
      <c r="B87" s="229"/>
      <c r="C87" s="233"/>
      <c r="D87" s="233"/>
      <c r="E87" s="233"/>
      <c r="F87" s="233"/>
      <c r="G87" s="234"/>
      <c r="I87" s="232"/>
      <c r="J87" s="232"/>
      <c r="K87" s="232"/>
    </row>
    <row r="88" spans="1:11" s="5" customFormat="1" ht="18.75" x14ac:dyDescent="0.3">
      <c r="A88" s="230" t="s">
        <v>52</v>
      </c>
      <c r="B88" s="239">
        <f>B85/B86</f>
        <v>1</v>
      </c>
      <c r="C88" s="222" t="s">
        <v>53</v>
      </c>
      <c r="D88" s="233"/>
      <c r="E88" s="233"/>
      <c r="F88" s="233"/>
      <c r="G88" s="234"/>
      <c r="I88" s="232"/>
      <c r="J88" s="232"/>
      <c r="K88" s="232"/>
    </row>
    <row r="89" spans="1:11" ht="19.5" customHeight="1" x14ac:dyDescent="0.3">
      <c r="A89" s="227"/>
      <c r="B89" s="227"/>
    </row>
    <row r="90" spans="1:11" ht="27" customHeight="1" x14ac:dyDescent="0.4">
      <c r="A90" s="240" t="s">
        <v>54</v>
      </c>
      <c r="B90" s="371">
        <v>100</v>
      </c>
      <c r="D90" s="303" t="s">
        <v>55</v>
      </c>
      <c r="E90" s="304"/>
      <c r="F90" s="440" t="s">
        <v>56</v>
      </c>
      <c r="G90" s="441"/>
    </row>
    <row r="91" spans="1:11" ht="26.25" customHeight="1" x14ac:dyDescent="0.4">
      <c r="A91" s="241" t="s">
        <v>57</v>
      </c>
      <c r="B91" s="372">
        <v>10</v>
      </c>
      <c r="C91" s="300" t="s">
        <v>58</v>
      </c>
      <c r="D91" s="244" t="s">
        <v>59</v>
      </c>
      <c r="E91" s="301" t="s">
        <v>60</v>
      </c>
      <c r="F91" s="244" t="s">
        <v>59</v>
      </c>
      <c r="G91" s="245" t="s">
        <v>60</v>
      </c>
    </row>
    <row r="92" spans="1:11" ht="26.25" customHeight="1" x14ac:dyDescent="0.4">
      <c r="A92" s="241" t="s">
        <v>61</v>
      </c>
      <c r="B92" s="372">
        <v>100</v>
      </c>
      <c r="C92" s="298">
        <v>1</v>
      </c>
      <c r="D92" s="373">
        <v>972650</v>
      </c>
      <c r="E92" s="317">
        <f>IF(ISBLANK(D92),"-",$D$102/$D$99*D92)</f>
        <v>885999.27126981237</v>
      </c>
      <c r="F92" s="373">
        <v>939657</v>
      </c>
      <c r="G92" s="320">
        <f>IF(ISBLANK(F92),"-",$D$102/$F$99*F92)</f>
        <v>892032.28816704941</v>
      </c>
    </row>
    <row r="93" spans="1:11" ht="26.25" customHeight="1" x14ac:dyDescent="0.4">
      <c r="A93" s="241" t="s">
        <v>62</v>
      </c>
      <c r="B93" s="372">
        <v>1</v>
      </c>
      <c r="C93" s="273">
        <v>2</v>
      </c>
      <c r="D93" s="374">
        <v>976166</v>
      </c>
      <c r="E93" s="318">
        <f>IF(ISBLANK(D93),"-",$D$102/$D$99*D93)</f>
        <v>889202.04044452542</v>
      </c>
      <c r="F93" s="374">
        <v>937045</v>
      </c>
      <c r="G93" s="321">
        <f>IF(ISBLANK(F93),"-",$D$102/$F$99*F93)</f>
        <v>889552.67237459286</v>
      </c>
    </row>
    <row r="94" spans="1:11" ht="26.25" customHeight="1" x14ac:dyDescent="0.4">
      <c r="A94" s="241" t="s">
        <v>63</v>
      </c>
      <c r="B94" s="372">
        <v>1</v>
      </c>
      <c r="C94" s="273">
        <v>3</v>
      </c>
      <c r="D94" s="374">
        <v>973510</v>
      </c>
      <c r="E94" s="318">
        <f>IF(ISBLANK(D94),"-",$D$102/$D$99*D94)</f>
        <v>886782.65622153401</v>
      </c>
      <c r="F94" s="374">
        <v>941323</v>
      </c>
      <c r="G94" s="321">
        <f>IF(ISBLANK(F94),"-",$D$102/$F$99*F94)</f>
        <v>893613.85015412164</v>
      </c>
    </row>
    <row r="95" spans="1:11" ht="26.25" customHeight="1" x14ac:dyDescent="0.4">
      <c r="A95" s="241" t="s">
        <v>64</v>
      </c>
      <c r="B95" s="372">
        <v>1</v>
      </c>
      <c r="C95" s="302">
        <v>4</v>
      </c>
      <c r="D95" s="375"/>
      <c r="E95" s="319" t="str">
        <f>IF(ISBLANK(D95),"-",$D$102/$D$99*D95)</f>
        <v>-</v>
      </c>
      <c r="F95" s="384"/>
      <c r="G95" s="322" t="str">
        <f>IF(ISBLANK(F95),"-",$D$102/$F$99*F95)</f>
        <v>-</v>
      </c>
    </row>
    <row r="96" spans="1:11" ht="27" customHeight="1" x14ac:dyDescent="0.4">
      <c r="A96" s="241" t="s">
        <v>65</v>
      </c>
      <c r="B96" s="372">
        <v>1</v>
      </c>
      <c r="C96" s="294" t="s">
        <v>66</v>
      </c>
      <c r="D96" s="360">
        <f>AVERAGE(D92:D95)</f>
        <v>974108.66666666663</v>
      </c>
      <c r="E96" s="276">
        <f>AVERAGE(E92:E95)</f>
        <v>887327.98931195727</v>
      </c>
      <c r="F96" s="299">
        <f>AVERAGE(F92:F95)</f>
        <v>939341.66666666663</v>
      </c>
      <c r="G96" s="323">
        <f>AVERAGE(G92:G95)</f>
        <v>891732.93689858785</v>
      </c>
    </row>
    <row r="97" spans="1:9" ht="26.25" customHeight="1" x14ac:dyDescent="0.4">
      <c r="A97" s="241" t="s">
        <v>67</v>
      </c>
      <c r="B97" s="369">
        <v>1</v>
      </c>
      <c r="C97" s="351" t="s">
        <v>68</v>
      </c>
      <c r="D97" s="396">
        <v>22</v>
      </c>
      <c r="E97" s="366"/>
      <c r="F97" s="376">
        <v>21.11</v>
      </c>
      <c r="G97" s="336"/>
    </row>
    <row r="98" spans="1:9" ht="26.25" customHeight="1" x14ac:dyDescent="0.4">
      <c r="A98" s="241" t="s">
        <v>69</v>
      </c>
      <c r="B98" s="369">
        <v>1</v>
      </c>
      <c r="C98" s="352" t="s">
        <v>70</v>
      </c>
      <c r="D98" s="353">
        <f>D97*B88</f>
        <v>22</v>
      </c>
      <c r="E98" s="255"/>
      <c r="F98" s="254">
        <f>F97*B88</f>
        <v>21.11</v>
      </c>
    </row>
    <row r="99" spans="1:9" ht="19.5" customHeight="1" x14ac:dyDescent="0.3">
      <c r="A99" s="241" t="s">
        <v>71</v>
      </c>
      <c r="B99" s="350">
        <f>(B98/B97)*(B96/B95)*(B94/B93)*(B92/B91)*B90</f>
        <v>1000</v>
      </c>
      <c r="C99" s="352" t="s">
        <v>72</v>
      </c>
      <c r="D99" s="354">
        <f>D98*$B$84/100</f>
        <v>21.956</v>
      </c>
      <c r="E99" s="257"/>
      <c r="F99" s="256">
        <f>F98*$B$84/100</f>
        <v>21.067779999999999</v>
      </c>
    </row>
    <row r="100" spans="1:9" ht="19.5" customHeight="1" x14ac:dyDescent="0.3">
      <c r="A100" s="453" t="s">
        <v>73</v>
      </c>
      <c r="B100" s="457"/>
      <c r="C100" s="352" t="s">
        <v>74</v>
      </c>
      <c r="D100" s="353">
        <f>D99/$B$99</f>
        <v>2.1956E-2</v>
      </c>
      <c r="E100" s="257"/>
      <c r="F100" s="258">
        <f>F99/$B$99</f>
        <v>2.1067779999999998E-2</v>
      </c>
      <c r="G100" s="336"/>
      <c r="H100" s="337"/>
    </row>
    <row r="101" spans="1:9" ht="19.5" customHeight="1" x14ac:dyDescent="0.3">
      <c r="A101" s="455"/>
      <c r="B101" s="458"/>
      <c r="C101" s="352" t="s">
        <v>75</v>
      </c>
      <c r="D101" s="361">
        <f>$B$56/$B$117</f>
        <v>0.02</v>
      </c>
      <c r="F101" s="260"/>
      <c r="G101" s="338"/>
      <c r="H101" s="337"/>
    </row>
    <row r="102" spans="1:9" ht="18.75" x14ac:dyDescent="0.3">
      <c r="C102" s="352" t="s">
        <v>76</v>
      </c>
      <c r="D102" s="353">
        <f>D101*$B$99</f>
        <v>20</v>
      </c>
      <c r="F102" s="260"/>
      <c r="G102" s="336"/>
      <c r="H102" s="337"/>
    </row>
    <row r="103" spans="1:9" ht="19.5" customHeight="1" x14ac:dyDescent="0.3">
      <c r="C103" s="355" t="s">
        <v>77</v>
      </c>
      <c r="D103" s="362">
        <f>D102/B34</f>
        <v>20</v>
      </c>
      <c r="F103" s="263"/>
      <c r="G103" s="336"/>
      <c r="H103" s="337"/>
      <c r="I103" s="277"/>
    </row>
    <row r="104" spans="1:9" ht="18.75" x14ac:dyDescent="0.3">
      <c r="C104" s="357" t="s">
        <v>116</v>
      </c>
      <c r="D104" s="358">
        <f>AVERAGE(E92:E95,G92:G95)</f>
        <v>889530.46310527262</v>
      </c>
      <c r="F104" s="263"/>
      <c r="G104" s="339"/>
      <c r="H104" s="337"/>
      <c r="I104" s="279"/>
    </row>
    <row r="105" spans="1:9" ht="18.75" x14ac:dyDescent="0.3">
      <c r="C105" s="259" t="s">
        <v>79</v>
      </c>
      <c r="D105" s="278">
        <f>STDEV(E92:E95,G92:G95)/D104</f>
        <v>3.299116851610738E-3</v>
      </c>
      <c r="F105" s="263"/>
      <c r="G105" s="336"/>
      <c r="H105" s="337"/>
      <c r="I105" s="279"/>
    </row>
    <row r="106" spans="1:9" ht="19.5" customHeight="1" x14ac:dyDescent="0.3">
      <c r="C106" s="261" t="s">
        <v>19</v>
      </c>
      <c r="D106" s="280">
        <f>COUNT(E92:E95,G92:G95)</f>
        <v>6</v>
      </c>
      <c r="F106" s="263"/>
      <c r="G106" s="336"/>
      <c r="H106" s="337"/>
      <c r="I106" s="279"/>
    </row>
    <row r="107" spans="1:9" ht="19.5" customHeight="1" x14ac:dyDescent="0.3">
      <c r="A107" s="221"/>
      <c r="B107" s="221"/>
      <c r="C107" s="221"/>
      <c r="D107" s="221"/>
      <c r="E107" s="221"/>
    </row>
    <row r="108" spans="1:9" ht="26.25" customHeight="1" x14ac:dyDescent="0.4">
      <c r="A108" s="240" t="s">
        <v>108</v>
      </c>
      <c r="B108" s="371">
        <v>1000</v>
      </c>
      <c r="C108" s="281" t="s">
        <v>109</v>
      </c>
      <c r="D108" s="282" t="s">
        <v>59</v>
      </c>
      <c r="E108" s="283" t="s">
        <v>110</v>
      </c>
      <c r="F108" s="284" t="s">
        <v>111</v>
      </c>
    </row>
    <row r="109" spans="1:9" ht="26.25" customHeight="1" x14ac:dyDescent="0.4">
      <c r="A109" s="241" t="s">
        <v>89</v>
      </c>
      <c r="B109" s="372">
        <v>10</v>
      </c>
      <c r="C109" s="247">
        <v>1</v>
      </c>
      <c r="D109" s="385">
        <v>581683</v>
      </c>
      <c r="E109" s="285">
        <f>IF(ISBLANK(D109),"-",D109/$D$104*$D$101*$B$117)</f>
        <v>26.156855740247316</v>
      </c>
      <c r="F109" s="286">
        <f t="shared" ref="F109:F113" si="1">IF(ISBLANK(D109), "-", E109/$B$56)</f>
        <v>0.65392139350618295</v>
      </c>
    </row>
    <row r="110" spans="1:9" ht="26.25" customHeight="1" x14ac:dyDescent="0.4">
      <c r="A110" s="241" t="s">
        <v>91</v>
      </c>
      <c r="B110" s="372">
        <v>20</v>
      </c>
      <c r="C110" s="247">
        <v>2</v>
      </c>
      <c r="D110" s="385">
        <v>626638</v>
      </c>
      <c r="E110" s="287">
        <f t="shared" ref="E110:E114" si="2">IF(ISBLANK(D110),"-",D110/$D$104*$D$101*$B$117)</f>
        <v>28.178371668687404</v>
      </c>
      <c r="F110" s="310">
        <f>IF(ISBLANK(D110), "-", E110/$B$56)</f>
        <v>0.70445929171718513</v>
      </c>
    </row>
    <row r="111" spans="1:9" ht="26.25" customHeight="1" x14ac:dyDescent="0.4">
      <c r="A111" s="241" t="s">
        <v>92</v>
      </c>
      <c r="B111" s="372">
        <v>1</v>
      </c>
      <c r="C111" s="247">
        <v>3</v>
      </c>
      <c r="D111" s="385">
        <v>580191</v>
      </c>
      <c r="E111" s="287">
        <f t="shared" si="2"/>
        <v>26.089764165000229</v>
      </c>
      <c r="F111" s="310">
        <f t="shared" si="1"/>
        <v>0.65224410412500577</v>
      </c>
    </row>
    <row r="112" spans="1:9" ht="26.25" customHeight="1" x14ac:dyDescent="0.4">
      <c r="A112" s="241" t="s">
        <v>93</v>
      </c>
      <c r="B112" s="372">
        <v>1</v>
      </c>
      <c r="C112" s="247">
        <v>4</v>
      </c>
      <c r="D112" s="385">
        <v>556422</v>
      </c>
      <c r="E112" s="287">
        <f t="shared" si="2"/>
        <v>25.020930618051221</v>
      </c>
      <c r="F112" s="310">
        <f>IF(ISBLANK(D112), "-", E112/$B$56)</f>
        <v>0.62552326545128056</v>
      </c>
    </row>
    <row r="113" spans="1:9" ht="26.25" customHeight="1" x14ac:dyDescent="0.4">
      <c r="A113" s="241" t="s">
        <v>94</v>
      </c>
      <c r="B113" s="372">
        <v>1</v>
      </c>
      <c r="C113" s="247">
        <v>5</v>
      </c>
      <c r="D113" s="385">
        <v>546982</v>
      </c>
      <c r="E113" s="287">
        <f t="shared" si="2"/>
        <v>24.596437005227859</v>
      </c>
      <c r="F113" s="310">
        <f t="shared" si="1"/>
        <v>0.61491092513069645</v>
      </c>
    </row>
    <row r="114" spans="1:9" ht="26.25" customHeight="1" x14ac:dyDescent="0.4">
      <c r="A114" s="241" t="s">
        <v>96</v>
      </c>
      <c r="B114" s="372">
        <v>1</v>
      </c>
      <c r="C114" s="250">
        <v>6</v>
      </c>
      <c r="D114" s="386">
        <v>556891</v>
      </c>
      <c r="E114" s="288">
        <f t="shared" si="2"/>
        <v>25.042020396061201</v>
      </c>
      <c r="F114" s="311">
        <f>IF(ISBLANK(D114), "-", E114/$B$56)</f>
        <v>0.62605050990152999</v>
      </c>
    </row>
    <row r="115" spans="1:9" ht="26.25" customHeight="1" x14ac:dyDescent="0.4">
      <c r="A115" s="241" t="s">
        <v>97</v>
      </c>
      <c r="B115" s="372">
        <v>1</v>
      </c>
      <c r="C115" s="247"/>
      <c r="D115" s="273"/>
      <c r="E115" s="275"/>
      <c r="F115" s="289"/>
    </row>
    <row r="116" spans="1:9" ht="26.25" customHeight="1" x14ac:dyDescent="0.4">
      <c r="A116" s="241" t="s">
        <v>98</v>
      </c>
      <c r="B116" s="372">
        <v>1</v>
      </c>
      <c r="C116" s="247"/>
      <c r="D116" s="290"/>
      <c r="E116" s="291" t="s">
        <v>66</v>
      </c>
      <c r="F116" s="390">
        <f>AVERAGE(F109:F114)</f>
        <v>0.64618491497198027</v>
      </c>
    </row>
    <row r="117" spans="1:9" ht="27" customHeight="1" x14ac:dyDescent="0.4">
      <c r="A117" s="241" t="s">
        <v>99</v>
      </c>
      <c r="B117" s="341">
        <f>(B116/B115)*(B114/B113)*(B112/B111)*(B110/B109)*B108</f>
        <v>2000</v>
      </c>
      <c r="C117" s="292"/>
      <c r="D117" s="293"/>
      <c r="E117" s="294" t="s">
        <v>79</v>
      </c>
      <c r="F117" s="391">
        <f>STDEV(F109:F114)/F116</f>
        <v>5.0397854482262076E-2</v>
      </c>
    </row>
    <row r="118" spans="1:9" ht="27" customHeight="1" x14ac:dyDescent="0.4">
      <c r="A118" s="453" t="s">
        <v>73</v>
      </c>
      <c r="B118" s="454"/>
      <c r="C118" s="295"/>
      <c r="D118" s="296"/>
      <c r="E118" s="297" t="s">
        <v>19</v>
      </c>
      <c r="F118" s="392">
        <f>COUNT(F109:F114)</f>
        <v>6</v>
      </c>
      <c r="I118" s="279"/>
    </row>
    <row r="119" spans="1:9" ht="19.5" customHeight="1" x14ac:dyDescent="0.3">
      <c r="A119" s="455"/>
      <c r="B119" s="456"/>
      <c r="C119" s="275"/>
      <c r="D119" s="275"/>
      <c r="E119" s="275"/>
      <c r="F119" s="273"/>
      <c r="G119" s="275"/>
      <c r="H119" s="275"/>
    </row>
    <row r="120" spans="1:9" ht="18.75" x14ac:dyDescent="0.3">
      <c r="A120" s="238"/>
      <c r="B120" s="238"/>
      <c r="C120" s="275"/>
      <c r="D120" s="275"/>
      <c r="E120" s="275"/>
      <c r="F120" s="273"/>
      <c r="G120" s="275"/>
      <c r="H120" s="275"/>
    </row>
    <row r="121" spans="1:9" ht="26.25" customHeight="1" x14ac:dyDescent="0.4">
      <c r="A121" s="228" t="s">
        <v>102</v>
      </c>
      <c r="B121" s="365" t="s">
        <v>103</v>
      </c>
      <c r="C121" s="435" t="str">
        <f>B20</f>
        <v xml:space="preserve">Artemether  Lumefantrine </v>
      </c>
      <c r="D121" s="435"/>
      <c r="E121" s="366" t="s">
        <v>112</v>
      </c>
      <c r="F121" s="366"/>
      <c r="G121" s="393">
        <f>F116</f>
        <v>0.64618491497198027</v>
      </c>
      <c r="H121" s="275"/>
    </row>
    <row r="122" spans="1:9" ht="18.75" x14ac:dyDescent="0.3">
      <c r="A122" s="238"/>
      <c r="B122" s="238"/>
      <c r="C122" s="275"/>
      <c r="D122" s="275"/>
      <c r="E122" s="275"/>
      <c r="F122" s="273"/>
      <c r="G122" s="275"/>
      <c r="H122" s="275"/>
    </row>
    <row r="123" spans="1:9" ht="26.25" customHeight="1" x14ac:dyDescent="0.4">
      <c r="A123" s="227" t="s">
        <v>105</v>
      </c>
      <c r="B123" s="227" t="s">
        <v>106</v>
      </c>
      <c r="D123" s="387" t="s">
        <v>113</v>
      </c>
    </row>
    <row r="124" spans="1:9" ht="19.5" customHeight="1" x14ac:dyDescent="0.3">
      <c r="A124" s="221"/>
      <c r="B124" s="221"/>
      <c r="C124" s="221"/>
      <c r="D124" s="221"/>
      <c r="E124" s="221"/>
    </row>
    <row r="125" spans="1:9" ht="26.25" customHeight="1" x14ac:dyDescent="0.4">
      <c r="A125" s="240" t="s">
        <v>108</v>
      </c>
      <c r="B125" s="371">
        <v>1000</v>
      </c>
      <c r="C125" s="281" t="s">
        <v>109</v>
      </c>
      <c r="D125" s="282" t="s">
        <v>59</v>
      </c>
      <c r="E125" s="283" t="s">
        <v>110</v>
      </c>
      <c r="F125" s="284" t="s">
        <v>111</v>
      </c>
    </row>
    <row r="126" spans="1:9" ht="26.25" customHeight="1" x14ac:dyDescent="0.4">
      <c r="A126" s="241" t="s">
        <v>89</v>
      </c>
      <c r="B126" s="372">
        <v>10</v>
      </c>
      <c r="C126" s="247">
        <v>1</v>
      </c>
      <c r="D126" s="388">
        <v>736896</v>
      </c>
      <c r="E126" s="346">
        <f t="shared" ref="E126:E131" si="3">IF(ISBLANK(D126),"-",D126/$D$104*$D$101*$B$134)</f>
        <v>33.136403105411851</v>
      </c>
      <c r="F126" s="343">
        <f t="shared" ref="F126:F131" si="4">IF(ISBLANK(D126), "-", E126/$B$56)</f>
        <v>0.82841007763529628</v>
      </c>
    </row>
    <row r="127" spans="1:9" ht="26.25" customHeight="1" x14ac:dyDescent="0.4">
      <c r="A127" s="241" t="s">
        <v>91</v>
      </c>
      <c r="B127" s="372">
        <v>20</v>
      </c>
      <c r="C127" s="247">
        <v>2</v>
      </c>
      <c r="D127" s="388">
        <v>720504</v>
      </c>
      <c r="E127" s="347">
        <f t="shared" si="3"/>
        <v>32.399295128568568</v>
      </c>
      <c r="F127" s="344">
        <f t="shared" si="4"/>
        <v>0.80998237821421415</v>
      </c>
    </row>
    <row r="128" spans="1:9" ht="26.25" customHeight="1" x14ac:dyDescent="0.4">
      <c r="A128" s="241" t="s">
        <v>92</v>
      </c>
      <c r="B128" s="372">
        <v>1</v>
      </c>
      <c r="C128" s="247">
        <v>3</v>
      </c>
      <c r="D128" s="388">
        <v>735897</v>
      </c>
      <c r="E128" s="347">
        <f t="shared" si="3"/>
        <v>33.091480529224299</v>
      </c>
      <c r="F128" s="344">
        <f t="shared" si="4"/>
        <v>0.82728701323060749</v>
      </c>
    </row>
    <row r="129" spans="1:9" ht="26.25" customHeight="1" x14ac:dyDescent="0.4">
      <c r="A129" s="241" t="s">
        <v>93</v>
      </c>
      <c r="B129" s="372">
        <v>1</v>
      </c>
      <c r="C129" s="247">
        <v>4</v>
      </c>
      <c r="D129" s="388">
        <v>770495</v>
      </c>
      <c r="E129" s="347">
        <f t="shared" si="3"/>
        <v>34.647267607239428</v>
      </c>
      <c r="F129" s="344">
        <f t="shared" si="4"/>
        <v>0.86618169018098568</v>
      </c>
    </row>
    <row r="130" spans="1:9" ht="26.25" customHeight="1" x14ac:dyDescent="0.4">
      <c r="A130" s="241" t="s">
        <v>94</v>
      </c>
      <c r="B130" s="372">
        <v>1</v>
      </c>
      <c r="C130" s="247">
        <v>5</v>
      </c>
      <c r="D130" s="388">
        <v>737204</v>
      </c>
      <c r="E130" s="347">
        <f t="shared" si="3"/>
        <v>33.150253108881088</v>
      </c>
      <c r="F130" s="344">
        <f t="shared" si="4"/>
        <v>0.82875632772202723</v>
      </c>
    </row>
    <row r="131" spans="1:9" ht="26.25" customHeight="1" x14ac:dyDescent="0.4">
      <c r="A131" s="241" t="s">
        <v>96</v>
      </c>
      <c r="B131" s="372">
        <v>1</v>
      </c>
      <c r="C131" s="250">
        <v>6</v>
      </c>
      <c r="D131" s="389">
        <v>746691</v>
      </c>
      <c r="E131" s="348">
        <f t="shared" si="3"/>
        <v>33.57686019625983</v>
      </c>
      <c r="F131" s="345">
        <f t="shared" si="4"/>
        <v>0.8394215049064957</v>
      </c>
    </row>
    <row r="132" spans="1:9" ht="26.25" customHeight="1" x14ac:dyDescent="0.4">
      <c r="A132" s="241" t="s">
        <v>97</v>
      </c>
      <c r="B132" s="372">
        <v>1</v>
      </c>
      <c r="C132" s="247"/>
      <c r="D132" s="273"/>
      <c r="E132" s="275"/>
      <c r="F132" s="289"/>
    </row>
    <row r="133" spans="1:9" ht="26.25" customHeight="1" x14ac:dyDescent="0.4">
      <c r="A133" s="241" t="s">
        <v>98</v>
      </c>
      <c r="B133" s="372">
        <v>1</v>
      </c>
      <c r="C133" s="247"/>
      <c r="D133" s="290"/>
      <c r="E133" s="291" t="s">
        <v>66</v>
      </c>
      <c r="F133" s="390">
        <f>AVERAGE(F126:F131)</f>
        <v>0.83333983198160455</v>
      </c>
    </row>
    <row r="134" spans="1:9" ht="27" customHeight="1" x14ac:dyDescent="0.4">
      <c r="A134" s="241" t="s">
        <v>99</v>
      </c>
      <c r="B134" s="394">
        <f>(B133/B132)*(B131/B130)*(B129/B128)*(B127/B126)*B125</f>
        <v>2000</v>
      </c>
      <c r="C134" s="292"/>
      <c r="D134" s="293"/>
      <c r="E134" s="294" t="s">
        <v>79</v>
      </c>
      <c r="F134" s="391">
        <f>STDEV(F126:F131)/F133</f>
        <v>2.2405420157379546E-2</v>
      </c>
    </row>
    <row r="135" spans="1:9" ht="27" customHeight="1" x14ac:dyDescent="0.4">
      <c r="A135" s="453" t="s">
        <v>73</v>
      </c>
      <c r="B135" s="454"/>
      <c r="C135" s="295"/>
      <c r="D135" s="296"/>
      <c r="E135" s="297" t="s">
        <v>19</v>
      </c>
      <c r="F135" s="392">
        <f>COUNT(F126:F131)</f>
        <v>6</v>
      </c>
      <c r="I135" s="279"/>
    </row>
    <row r="136" spans="1:9" ht="19.5" customHeight="1" x14ac:dyDescent="0.3">
      <c r="A136" s="455"/>
      <c r="B136" s="456"/>
      <c r="C136" s="275"/>
      <c r="D136" s="275"/>
      <c r="E136" s="275"/>
      <c r="F136" s="273"/>
      <c r="G136" s="275"/>
      <c r="H136" s="275"/>
    </row>
    <row r="137" spans="1:9" ht="18.75" x14ac:dyDescent="0.3">
      <c r="A137" s="238"/>
      <c r="B137" s="238"/>
      <c r="C137" s="275"/>
      <c r="D137" s="275"/>
      <c r="E137" s="275"/>
      <c r="F137" s="273"/>
      <c r="G137" s="275"/>
      <c r="H137" s="275"/>
    </row>
    <row r="138" spans="1:9" ht="26.25" customHeight="1" x14ac:dyDescent="0.4">
      <c r="A138" s="228" t="s">
        <v>102</v>
      </c>
      <c r="B138" s="365" t="s">
        <v>103</v>
      </c>
      <c r="C138" s="435" t="str">
        <f>B20</f>
        <v xml:space="preserve">Artemether  Lumefantrine </v>
      </c>
      <c r="D138" s="435"/>
      <c r="E138" s="366" t="s">
        <v>112</v>
      </c>
      <c r="F138" s="366"/>
      <c r="G138" s="393">
        <f>F133</f>
        <v>0.83333983198160455</v>
      </c>
      <c r="H138" s="275"/>
    </row>
    <row r="139" spans="1:9" ht="19.5" customHeight="1" x14ac:dyDescent="0.3">
      <c r="A139" s="312"/>
      <c r="B139" s="312"/>
      <c r="C139" s="313"/>
      <c r="D139" s="313"/>
      <c r="E139" s="313"/>
      <c r="F139" s="313"/>
      <c r="G139" s="313"/>
      <c r="H139" s="313"/>
    </row>
    <row r="140" spans="1:9" ht="18.75" x14ac:dyDescent="0.3">
      <c r="B140" s="436" t="s">
        <v>22</v>
      </c>
      <c r="C140" s="436"/>
      <c r="E140" s="300" t="s">
        <v>23</v>
      </c>
      <c r="F140" s="328"/>
      <c r="G140" s="436" t="s">
        <v>24</v>
      </c>
      <c r="H140" s="436"/>
    </row>
    <row r="141" spans="1:9" ht="47.25" customHeight="1" x14ac:dyDescent="0.3">
      <c r="A141" s="329" t="s">
        <v>25</v>
      </c>
      <c r="B141" s="363"/>
      <c r="C141" s="363"/>
      <c r="E141" s="324"/>
      <c r="F141" s="275"/>
      <c r="G141" s="326"/>
      <c r="H141" s="326"/>
    </row>
    <row r="142" spans="1:9" ht="56.25" customHeight="1" x14ac:dyDescent="0.3">
      <c r="A142" s="329" t="s">
        <v>26</v>
      </c>
      <c r="B142" s="364"/>
      <c r="C142" s="364"/>
      <c r="E142" s="325"/>
      <c r="F142" s="275"/>
      <c r="G142" s="327"/>
      <c r="H142" s="327"/>
    </row>
    <row r="143" spans="1:9" ht="18.75" x14ac:dyDescent="0.3">
      <c r="A143" s="272"/>
      <c r="B143" s="272"/>
      <c r="C143" s="273"/>
      <c r="D143" s="273"/>
      <c r="E143" s="273"/>
      <c r="F143" s="274"/>
      <c r="G143" s="273"/>
      <c r="H143" s="273"/>
    </row>
    <row r="144" spans="1:9" ht="18.75" x14ac:dyDescent="0.3">
      <c r="A144" s="272"/>
      <c r="B144" s="272"/>
      <c r="C144" s="273"/>
      <c r="D144" s="273"/>
      <c r="E144" s="273"/>
      <c r="F144" s="274"/>
      <c r="G144" s="273"/>
      <c r="H144" s="273"/>
    </row>
    <row r="145" spans="1:8" ht="18.75" x14ac:dyDescent="0.3">
      <c r="A145" s="272"/>
      <c r="B145" s="272"/>
      <c r="C145" s="273"/>
      <c r="D145" s="273"/>
      <c r="E145" s="273"/>
      <c r="F145" s="274"/>
      <c r="G145" s="273"/>
      <c r="H145" s="273"/>
    </row>
    <row r="146" spans="1:8" ht="18.75" x14ac:dyDescent="0.3">
      <c r="A146" s="272"/>
      <c r="B146" s="272"/>
      <c r="C146" s="273"/>
      <c r="D146" s="273"/>
      <c r="E146" s="273"/>
      <c r="F146" s="274"/>
      <c r="G146" s="273"/>
      <c r="H146" s="273"/>
    </row>
    <row r="147" spans="1:8" ht="18.75" x14ac:dyDescent="0.3">
      <c r="A147" s="272"/>
      <c r="B147" s="272"/>
      <c r="C147" s="273"/>
      <c r="D147" s="273"/>
      <c r="E147" s="273"/>
      <c r="F147" s="274"/>
      <c r="G147" s="273"/>
      <c r="H147" s="273"/>
    </row>
    <row r="148" spans="1:8" ht="18.75" x14ac:dyDescent="0.3">
      <c r="A148" s="272"/>
      <c r="B148" s="272"/>
      <c r="C148" s="273"/>
      <c r="D148" s="273"/>
      <c r="E148" s="273"/>
      <c r="F148" s="274"/>
      <c r="G148" s="273"/>
      <c r="H148" s="273"/>
    </row>
    <row r="149" spans="1:8" ht="18.75" x14ac:dyDescent="0.3">
      <c r="A149" s="272"/>
      <c r="B149" s="272"/>
      <c r="C149" s="273"/>
      <c r="D149" s="273"/>
      <c r="E149" s="273"/>
      <c r="F149" s="274"/>
      <c r="G149" s="273"/>
      <c r="H149" s="273"/>
    </row>
    <row r="150" spans="1:8" ht="18.75" x14ac:dyDescent="0.3">
      <c r="A150" s="272"/>
      <c r="B150" s="272"/>
      <c r="C150" s="273"/>
      <c r="D150" s="273"/>
      <c r="E150" s="273"/>
      <c r="F150" s="274"/>
      <c r="G150" s="273"/>
      <c r="H150" s="273"/>
    </row>
    <row r="151" spans="1:8" ht="18.75" x14ac:dyDescent="0.3">
      <c r="A151" s="272"/>
      <c r="B151" s="272"/>
      <c r="C151" s="273"/>
      <c r="D151" s="273"/>
      <c r="E151" s="273"/>
      <c r="F151" s="274"/>
      <c r="G151" s="273"/>
      <c r="H151" s="273"/>
    </row>
    <row r="250" spans="1:1" x14ac:dyDescent="0.25">
      <c r="A250" s="2">
        <v>5</v>
      </c>
    </row>
  </sheetData>
  <sheetProtection password="AD9C" formatCells="0" formatColumns="0" formatRows="0" insertColumns="0" insertRows="0" insertHyperlinks="0" deleteColumns="0" deleteRows="0" sort="0" autoFilter="0" pivotTables="0"/>
  <mergeCells count="31">
    <mergeCell ref="A1:H7"/>
    <mergeCell ref="A8:H14"/>
    <mergeCell ref="A16:H16"/>
    <mergeCell ref="C85:H85"/>
    <mergeCell ref="C86:H86"/>
    <mergeCell ref="B80:C80"/>
    <mergeCell ref="B26:C26"/>
    <mergeCell ref="B18:C18"/>
    <mergeCell ref="F90:G90"/>
    <mergeCell ref="A100:B101"/>
    <mergeCell ref="A118:B119"/>
    <mergeCell ref="A46:B47"/>
    <mergeCell ref="C83:G83"/>
    <mergeCell ref="A70:B71"/>
    <mergeCell ref="C76:D76"/>
    <mergeCell ref="C138:D138"/>
    <mergeCell ref="B140:C140"/>
    <mergeCell ref="G140:H140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A135:B136"/>
    <mergeCell ref="C121:D121"/>
  </mergeCells>
  <printOptions horizontalCentered="1" verticalCentered="1"/>
  <pageMargins left="0.7" right="0.7" top="0.75" bottom="0.75" header="0.3" footer="0.3"/>
  <pageSetup paperSize="9" scale="25" fitToHeight="2" orientation="portrait" blackAndWhite="1" r:id="rId1"/>
  <headerFooter alignWithMargins="0">
    <oddFooter>&amp;LNQCL/ADDO/014&amp;C&amp;P of &amp;N&amp;R&amp;D &amp;T</oddFooter>
  </headerFooter>
  <rowBreaks count="1" manualBreakCount="1">
    <brk id="121" max="8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98"/>
  <sheetViews>
    <sheetView tabSelected="1" view="pageBreakPreview" topLeftCell="A4" zoomScale="55" zoomScaleNormal="75" zoomScaleSheetLayoutView="55" workbookViewId="0">
      <selection activeCell="C20" sqref="C20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" spans="1:8" x14ac:dyDescent="0.25">
      <c r="A1" s="463" t="s">
        <v>41</v>
      </c>
      <c r="B1" s="463"/>
      <c r="C1" s="463"/>
      <c r="D1" s="463"/>
      <c r="E1" s="463"/>
      <c r="F1" s="463"/>
      <c r="G1" s="463"/>
      <c r="H1" s="463"/>
    </row>
    <row r="2" spans="1:8" x14ac:dyDescent="0.25">
      <c r="A2" s="463"/>
      <c r="B2" s="463"/>
      <c r="C2" s="463"/>
      <c r="D2" s="463"/>
      <c r="E2" s="463"/>
      <c r="F2" s="463"/>
      <c r="G2" s="463"/>
      <c r="H2" s="463"/>
    </row>
    <row r="3" spans="1:8" x14ac:dyDescent="0.25">
      <c r="A3" s="463"/>
      <c r="B3" s="463"/>
      <c r="C3" s="463"/>
      <c r="D3" s="463"/>
      <c r="E3" s="463"/>
      <c r="F3" s="463"/>
      <c r="G3" s="463"/>
      <c r="H3" s="463"/>
    </row>
    <row r="4" spans="1:8" x14ac:dyDescent="0.25">
      <c r="A4" s="463"/>
      <c r="B4" s="463"/>
      <c r="C4" s="463"/>
      <c r="D4" s="463"/>
      <c r="E4" s="463"/>
      <c r="F4" s="463"/>
      <c r="G4" s="463"/>
      <c r="H4" s="463"/>
    </row>
    <row r="5" spans="1:8" x14ac:dyDescent="0.25">
      <c r="A5" s="463"/>
      <c r="B5" s="463"/>
      <c r="C5" s="463"/>
      <c r="D5" s="463"/>
      <c r="E5" s="463"/>
      <c r="F5" s="463"/>
      <c r="G5" s="463"/>
      <c r="H5" s="463"/>
    </row>
    <row r="6" spans="1:8" x14ac:dyDescent="0.25">
      <c r="A6" s="463"/>
      <c r="B6" s="463"/>
      <c r="C6" s="463"/>
      <c r="D6" s="463"/>
      <c r="E6" s="463"/>
      <c r="F6" s="463"/>
      <c r="G6" s="463"/>
      <c r="H6" s="463"/>
    </row>
    <row r="7" spans="1:8" x14ac:dyDescent="0.25">
      <c r="A7" s="463"/>
      <c r="B7" s="463"/>
      <c r="C7" s="463"/>
      <c r="D7" s="463"/>
      <c r="E7" s="463"/>
      <c r="F7" s="463"/>
      <c r="G7" s="463"/>
      <c r="H7" s="463"/>
    </row>
    <row r="8" spans="1:8" x14ac:dyDescent="0.25">
      <c r="A8" s="464" t="s">
        <v>42</v>
      </c>
      <c r="B8" s="464"/>
      <c r="C8" s="464"/>
      <c r="D8" s="464"/>
      <c r="E8" s="464"/>
      <c r="F8" s="464"/>
      <c r="G8" s="464"/>
      <c r="H8" s="464"/>
    </row>
    <row r="9" spans="1:8" x14ac:dyDescent="0.25">
      <c r="A9" s="464"/>
      <c r="B9" s="464"/>
      <c r="C9" s="464"/>
      <c r="D9" s="464"/>
      <c r="E9" s="464"/>
      <c r="F9" s="464"/>
      <c r="G9" s="464"/>
      <c r="H9" s="464"/>
    </row>
    <row r="10" spans="1:8" x14ac:dyDescent="0.25">
      <c r="A10" s="464"/>
      <c r="B10" s="464"/>
      <c r="C10" s="464"/>
      <c r="D10" s="464"/>
      <c r="E10" s="464"/>
      <c r="F10" s="464"/>
      <c r="G10" s="464"/>
      <c r="H10" s="464"/>
    </row>
    <row r="11" spans="1:8" x14ac:dyDescent="0.25">
      <c r="A11" s="464"/>
      <c r="B11" s="464"/>
      <c r="C11" s="464"/>
      <c r="D11" s="464"/>
      <c r="E11" s="464"/>
      <c r="F11" s="464"/>
      <c r="G11" s="464"/>
      <c r="H11" s="464"/>
    </row>
    <row r="12" spans="1:8" x14ac:dyDescent="0.25">
      <c r="A12" s="464"/>
      <c r="B12" s="464"/>
      <c r="C12" s="464"/>
      <c r="D12" s="464"/>
      <c r="E12" s="464"/>
      <c r="F12" s="464"/>
      <c r="G12" s="464"/>
      <c r="H12" s="464"/>
    </row>
    <row r="13" spans="1:8" x14ac:dyDescent="0.25">
      <c r="A13" s="464"/>
      <c r="B13" s="464"/>
      <c r="C13" s="464"/>
      <c r="D13" s="464"/>
      <c r="E13" s="464"/>
      <c r="F13" s="464"/>
      <c r="G13" s="464"/>
      <c r="H13" s="464"/>
    </row>
    <row r="14" spans="1:8" x14ac:dyDescent="0.25">
      <c r="A14" s="464"/>
      <c r="B14" s="464"/>
      <c r="C14" s="464"/>
      <c r="D14" s="464"/>
      <c r="E14" s="464"/>
      <c r="F14" s="464"/>
      <c r="G14" s="464"/>
      <c r="H14" s="464"/>
    </row>
    <row r="15" spans="1:8" ht="19.5" customHeight="1" x14ac:dyDescent="0.25"/>
    <row r="16" spans="1:8" ht="19.5" customHeight="1" x14ac:dyDescent="0.25">
      <c r="A16" s="465" t="s">
        <v>27</v>
      </c>
      <c r="B16" s="466"/>
      <c r="C16" s="466"/>
      <c r="D16" s="466"/>
      <c r="E16" s="466"/>
      <c r="F16" s="466"/>
      <c r="G16" s="466"/>
      <c r="H16" s="467"/>
    </row>
    <row r="17" spans="1:14" ht="18.75" x14ac:dyDescent="0.3">
      <c r="A17" s="65" t="s">
        <v>43</v>
      </c>
      <c r="B17" s="65"/>
    </row>
    <row r="18" spans="1:14" ht="18.75" x14ac:dyDescent="0.3">
      <c r="A18" s="67" t="s">
        <v>29</v>
      </c>
      <c r="B18" s="469" t="s">
        <v>5</v>
      </c>
      <c r="C18" s="469"/>
      <c r="D18" s="154"/>
      <c r="E18" s="154"/>
    </row>
    <row r="19" spans="1:14" ht="18.75" x14ac:dyDescent="0.3">
      <c r="A19" s="67" t="s">
        <v>30</v>
      </c>
      <c r="B19" s="155" t="s">
        <v>7</v>
      </c>
      <c r="C19" s="66">
        <v>29</v>
      </c>
    </row>
    <row r="20" spans="1:14" ht="18.75" x14ac:dyDescent="0.3">
      <c r="A20" s="67" t="s">
        <v>31</v>
      </c>
      <c r="B20" s="155" t="s">
        <v>9</v>
      </c>
    </row>
    <row r="21" spans="1:14" ht="18.75" x14ac:dyDescent="0.3">
      <c r="A21" s="67" t="s">
        <v>32</v>
      </c>
      <c r="B21" s="179" t="s">
        <v>11</v>
      </c>
      <c r="C21" s="179"/>
      <c r="D21" s="179"/>
      <c r="E21" s="179"/>
      <c r="F21" s="179"/>
      <c r="G21" s="179"/>
      <c r="H21" s="179"/>
      <c r="I21" s="179"/>
    </row>
    <row r="22" spans="1:14" ht="18.75" x14ac:dyDescent="0.3">
      <c r="A22" s="67" t="s">
        <v>33</v>
      </c>
      <c r="B22" s="156" t="s">
        <v>120</v>
      </c>
    </row>
    <row r="23" spans="1:14" ht="18.75" x14ac:dyDescent="0.3">
      <c r="A23" s="67" t="s">
        <v>34</v>
      </c>
      <c r="B23" s="156" t="s">
        <v>121</v>
      </c>
    </row>
    <row r="24" spans="1:14" ht="18.75" x14ac:dyDescent="0.3">
      <c r="A24" s="67"/>
      <c r="B24" s="70"/>
    </row>
    <row r="25" spans="1:14" ht="18.75" x14ac:dyDescent="0.3">
      <c r="A25" s="71" t="s">
        <v>1</v>
      </c>
      <c r="B25" s="70"/>
    </row>
    <row r="26" spans="1:14" ht="26.25" customHeight="1" x14ac:dyDescent="0.4">
      <c r="A26" s="72" t="s">
        <v>4</v>
      </c>
      <c r="B26" s="220" t="s">
        <v>118</v>
      </c>
      <c r="C26" s="219"/>
      <c r="E26" s="2" t="s">
        <v>122</v>
      </c>
    </row>
    <row r="27" spans="1:14" ht="26.25" customHeight="1" x14ac:dyDescent="0.4">
      <c r="A27" s="74" t="s">
        <v>44</v>
      </c>
      <c r="B27" s="468" t="s">
        <v>119</v>
      </c>
      <c r="C27" s="468"/>
    </row>
    <row r="28" spans="1:14" ht="27" customHeight="1" x14ac:dyDescent="0.4">
      <c r="A28" s="74" t="s">
        <v>6</v>
      </c>
      <c r="B28" s="204">
        <v>100.2</v>
      </c>
    </row>
    <row r="29" spans="1:14" s="5" customFormat="1" ht="27" customHeight="1" x14ac:dyDescent="0.4">
      <c r="A29" s="74" t="s">
        <v>45</v>
      </c>
      <c r="B29" s="203">
        <v>0</v>
      </c>
      <c r="C29" s="437" t="s">
        <v>46</v>
      </c>
      <c r="D29" s="438"/>
      <c r="E29" s="438"/>
      <c r="F29" s="438"/>
      <c r="G29" s="439"/>
      <c r="I29" s="76"/>
      <c r="J29" s="76"/>
      <c r="K29" s="76"/>
      <c r="L29" s="76"/>
    </row>
    <row r="30" spans="1:14" s="5" customFormat="1" ht="19.5" customHeight="1" x14ac:dyDescent="0.3">
      <c r="A30" s="74" t="s">
        <v>47</v>
      </c>
      <c r="B30" s="73">
        <f>B28-B29</f>
        <v>100.2</v>
      </c>
      <c r="C30" s="77"/>
      <c r="D30" s="77"/>
      <c r="E30" s="77"/>
      <c r="F30" s="77"/>
      <c r="G30" s="78"/>
      <c r="I30" s="76"/>
      <c r="J30" s="76"/>
      <c r="K30" s="76"/>
      <c r="L30" s="76"/>
    </row>
    <row r="31" spans="1:14" s="5" customFormat="1" ht="27" customHeight="1" x14ac:dyDescent="0.4">
      <c r="A31" s="74" t="s">
        <v>48</v>
      </c>
      <c r="B31" s="205">
        <v>1</v>
      </c>
      <c r="C31" s="442" t="s">
        <v>49</v>
      </c>
      <c r="D31" s="443"/>
      <c r="E31" s="443"/>
      <c r="F31" s="443"/>
      <c r="G31" s="443"/>
      <c r="H31" s="444"/>
      <c r="I31" s="76"/>
      <c r="J31" s="76"/>
      <c r="K31" s="76"/>
      <c r="L31" s="76"/>
    </row>
    <row r="32" spans="1:14" s="5" customFormat="1" ht="27" customHeight="1" x14ac:dyDescent="0.4">
      <c r="A32" s="74" t="s">
        <v>50</v>
      </c>
      <c r="B32" s="205">
        <v>1</v>
      </c>
      <c r="C32" s="442" t="s">
        <v>51</v>
      </c>
      <c r="D32" s="443"/>
      <c r="E32" s="443"/>
      <c r="F32" s="443"/>
      <c r="G32" s="443"/>
      <c r="H32" s="444"/>
      <c r="I32" s="76"/>
      <c r="J32" s="76"/>
      <c r="K32" s="76"/>
      <c r="L32" s="80"/>
      <c r="M32" s="80"/>
      <c r="N32" s="81"/>
    </row>
    <row r="33" spans="1:14" s="5" customFormat="1" ht="17.25" customHeight="1" x14ac:dyDescent="0.3">
      <c r="A33" s="74"/>
      <c r="B33" s="79"/>
      <c r="C33" s="82"/>
      <c r="D33" s="82"/>
      <c r="E33" s="82"/>
      <c r="F33" s="82"/>
      <c r="G33" s="82"/>
      <c r="H33" s="82"/>
      <c r="I33" s="76"/>
      <c r="J33" s="76"/>
      <c r="K33" s="76"/>
      <c r="L33" s="80"/>
      <c r="M33" s="80"/>
      <c r="N33" s="81"/>
    </row>
    <row r="34" spans="1:14" s="5" customFormat="1" ht="18.75" x14ac:dyDescent="0.3">
      <c r="A34" s="74" t="s">
        <v>52</v>
      </c>
      <c r="B34" s="83">
        <f>B31/B32</f>
        <v>1</v>
      </c>
      <c r="C34" s="66" t="s">
        <v>53</v>
      </c>
      <c r="D34" s="66"/>
      <c r="E34" s="66"/>
      <c r="F34" s="66"/>
      <c r="G34" s="66"/>
      <c r="I34" s="76"/>
      <c r="J34" s="76"/>
      <c r="K34" s="76"/>
      <c r="L34" s="80"/>
      <c r="M34" s="80"/>
      <c r="N34" s="81"/>
    </row>
    <row r="35" spans="1:14" s="5" customFormat="1" ht="19.5" customHeight="1" x14ac:dyDescent="0.3">
      <c r="A35" s="74"/>
      <c r="B35" s="73"/>
      <c r="G35" s="66"/>
      <c r="I35" s="76"/>
      <c r="J35" s="76"/>
      <c r="K35" s="76"/>
      <c r="L35" s="80"/>
      <c r="M35" s="80"/>
      <c r="N35" s="81"/>
    </row>
    <row r="36" spans="1:14" s="5" customFormat="1" ht="27" customHeight="1" x14ac:dyDescent="0.4">
      <c r="A36" s="84" t="s">
        <v>54</v>
      </c>
      <c r="B36" s="206">
        <v>50</v>
      </c>
      <c r="C36" s="66"/>
      <c r="D36" s="440" t="s">
        <v>55</v>
      </c>
      <c r="E36" s="452"/>
      <c r="F36" s="440" t="s">
        <v>56</v>
      </c>
      <c r="G36" s="441"/>
      <c r="J36" s="76"/>
      <c r="K36" s="76"/>
      <c r="L36" s="80"/>
      <c r="M36" s="80"/>
      <c r="N36" s="81"/>
    </row>
    <row r="37" spans="1:14" s="5" customFormat="1" ht="15.75" customHeight="1" x14ac:dyDescent="0.4">
      <c r="A37" s="85" t="s">
        <v>57</v>
      </c>
      <c r="B37" s="207">
        <v>2</v>
      </c>
      <c r="C37" s="87" t="s">
        <v>58</v>
      </c>
      <c r="D37" s="88" t="s">
        <v>59</v>
      </c>
      <c r="E37" s="143" t="s">
        <v>60</v>
      </c>
      <c r="F37" s="88" t="s">
        <v>59</v>
      </c>
      <c r="G37" s="89" t="s">
        <v>60</v>
      </c>
      <c r="J37" s="76"/>
      <c r="K37" s="76"/>
      <c r="L37" s="80"/>
      <c r="M37" s="80"/>
      <c r="N37" s="81"/>
    </row>
    <row r="38" spans="1:14" s="5" customFormat="1" ht="26.25" customHeight="1" x14ac:dyDescent="0.4">
      <c r="A38" s="85" t="s">
        <v>61</v>
      </c>
      <c r="B38" s="207">
        <v>10</v>
      </c>
      <c r="C38" s="90">
        <v>1</v>
      </c>
      <c r="D38" s="208">
        <v>8379162</v>
      </c>
      <c r="E38" s="157">
        <f>IF(ISBLANK(D38),"-",$D$48/$D$45*D38)</f>
        <v>7757362.8253696682</v>
      </c>
      <c r="F38" s="208">
        <v>10061419</v>
      </c>
      <c r="G38" s="160">
        <f>IF(ISBLANK(F38),"-",$D$48/$F$45*F38)</f>
        <v>7796068.5771314502</v>
      </c>
      <c r="J38" s="76"/>
      <c r="K38" s="76"/>
      <c r="L38" s="80"/>
      <c r="M38" s="80"/>
      <c r="N38" s="81"/>
    </row>
    <row r="39" spans="1:14" s="5" customFormat="1" ht="26.25" customHeight="1" x14ac:dyDescent="0.4">
      <c r="A39" s="85" t="s">
        <v>62</v>
      </c>
      <c r="B39" s="207">
        <v>1</v>
      </c>
      <c r="C39" s="86">
        <v>2</v>
      </c>
      <c r="D39" s="209">
        <v>8367316</v>
      </c>
      <c r="E39" s="158">
        <f>IF(ISBLANK(D39),"-",$D$48/$D$45*D39)</f>
        <v>7746395.8909638971</v>
      </c>
      <c r="F39" s="209">
        <v>10062388</v>
      </c>
      <c r="G39" s="161">
        <f>IF(ISBLANK(F39),"-",$D$48/$F$45*F39)</f>
        <v>7796819.4046689216</v>
      </c>
      <c r="J39" s="76"/>
      <c r="K39" s="76"/>
      <c r="L39" s="80"/>
      <c r="M39" s="80"/>
      <c r="N39" s="81"/>
    </row>
    <row r="40" spans="1:14" ht="26.25" customHeight="1" x14ac:dyDescent="0.4">
      <c r="A40" s="85" t="s">
        <v>63</v>
      </c>
      <c r="B40" s="207">
        <v>1</v>
      </c>
      <c r="C40" s="86">
        <v>3</v>
      </c>
      <c r="D40" s="209">
        <v>8384910</v>
      </c>
      <c r="E40" s="158">
        <f>IF(ISBLANK(D40),"-",$D$48/$D$45*D40)</f>
        <v>7762684.278937486</v>
      </c>
      <c r="F40" s="209">
        <v>10045309</v>
      </c>
      <c r="G40" s="161">
        <f>IF(ISBLANK(F40),"-",$D$48/$F$45*F40)</f>
        <v>7783585.7787530515</v>
      </c>
      <c r="L40" s="80"/>
      <c r="M40" s="80"/>
      <c r="N40" s="92"/>
    </row>
    <row r="41" spans="1:14" ht="26.25" customHeight="1" x14ac:dyDescent="0.4">
      <c r="A41" s="85" t="s">
        <v>64</v>
      </c>
      <c r="B41" s="207">
        <v>1</v>
      </c>
      <c r="C41" s="93">
        <v>4</v>
      </c>
      <c r="D41" s="210"/>
      <c r="E41" s="159" t="str">
        <f>IF(ISBLANK(D41),"-",$D$48/$D$45*D41)</f>
        <v>-</v>
      </c>
      <c r="F41" s="210"/>
      <c r="G41" s="162" t="str">
        <f>IF(ISBLANK(F41),"-",$D$48/$F$45*F41)</f>
        <v>-</v>
      </c>
      <c r="L41" s="80"/>
      <c r="M41" s="80"/>
      <c r="N41" s="92"/>
    </row>
    <row r="42" spans="1:14" ht="27" customHeight="1" x14ac:dyDescent="0.4">
      <c r="A42" s="85" t="s">
        <v>65</v>
      </c>
      <c r="B42" s="207">
        <v>1</v>
      </c>
      <c r="C42" s="95" t="s">
        <v>66</v>
      </c>
      <c r="D42" s="184">
        <f>AVERAGE(D38:D41)</f>
        <v>8377129.333333333</v>
      </c>
      <c r="E42" s="117">
        <f>AVERAGE(E38:E41)</f>
        <v>7755480.9984236835</v>
      </c>
      <c r="F42" s="96">
        <f>AVERAGE(F38:F41)</f>
        <v>10056372</v>
      </c>
      <c r="G42" s="97">
        <f>AVERAGE(G38:G41)</f>
        <v>7792157.9201844744</v>
      </c>
      <c r="H42" s="176"/>
    </row>
    <row r="43" spans="1:14" ht="26.25" customHeight="1" x14ac:dyDescent="0.4">
      <c r="A43" s="85" t="s">
        <v>67</v>
      </c>
      <c r="B43" s="204">
        <v>1</v>
      </c>
      <c r="C43" s="185" t="s">
        <v>68</v>
      </c>
      <c r="D43" s="211">
        <v>16.170000000000002</v>
      </c>
      <c r="E43" s="92"/>
      <c r="F43" s="212">
        <v>19.32</v>
      </c>
      <c r="H43" s="176"/>
    </row>
    <row r="44" spans="1:14" ht="26.25" customHeight="1" x14ac:dyDescent="0.4">
      <c r="A44" s="85" t="s">
        <v>69</v>
      </c>
      <c r="B44" s="204">
        <v>1</v>
      </c>
      <c r="C44" s="186" t="s">
        <v>70</v>
      </c>
      <c r="D44" s="187">
        <f>D43*$B$34</f>
        <v>16.170000000000002</v>
      </c>
      <c r="E44" s="99"/>
      <c r="F44" s="98">
        <f>F43*$B$34</f>
        <v>19.32</v>
      </c>
      <c r="H44" s="176"/>
    </row>
    <row r="45" spans="1:14" ht="19.5" customHeight="1" x14ac:dyDescent="0.3">
      <c r="A45" s="85" t="s">
        <v>71</v>
      </c>
      <c r="B45" s="183">
        <f>(B44/B43)*(B42/B41)*(B40/B39)*(B38/B37)*B36</f>
        <v>250</v>
      </c>
      <c r="C45" s="186" t="s">
        <v>72</v>
      </c>
      <c r="D45" s="188">
        <f>D44*$B$30/100</f>
        <v>16.202340000000003</v>
      </c>
      <c r="E45" s="101"/>
      <c r="F45" s="100">
        <f>F44*$B$30/100</f>
        <v>19.358640000000001</v>
      </c>
      <c r="H45" s="176"/>
    </row>
    <row r="46" spans="1:14" ht="19.5" customHeight="1" x14ac:dyDescent="0.3">
      <c r="A46" s="453" t="s">
        <v>73</v>
      </c>
      <c r="B46" s="457"/>
      <c r="C46" s="186" t="s">
        <v>74</v>
      </c>
      <c r="D46" s="187">
        <f>D45/$B$45</f>
        <v>6.480936000000001E-2</v>
      </c>
      <c r="E46" s="101"/>
      <c r="F46" s="102">
        <f>F45/$B$45</f>
        <v>7.743456E-2</v>
      </c>
      <c r="H46" s="176"/>
    </row>
    <row r="47" spans="1:14" ht="27" customHeight="1" x14ac:dyDescent="0.4">
      <c r="A47" s="455"/>
      <c r="B47" s="458"/>
      <c r="C47" s="186" t="s">
        <v>75</v>
      </c>
      <c r="D47" s="213">
        <v>0.06</v>
      </c>
      <c r="F47" s="104"/>
      <c r="H47" s="176"/>
    </row>
    <row r="48" spans="1:14" ht="18.75" x14ac:dyDescent="0.3">
      <c r="C48" s="186" t="s">
        <v>76</v>
      </c>
      <c r="D48" s="187">
        <f>D47*$B$45</f>
        <v>15</v>
      </c>
      <c r="F48" s="104"/>
      <c r="H48" s="176"/>
    </row>
    <row r="49" spans="1:12" ht="19.5" customHeight="1" x14ac:dyDescent="0.3">
      <c r="C49" s="189" t="s">
        <v>77</v>
      </c>
      <c r="D49" s="190">
        <f>D48/B34</f>
        <v>15</v>
      </c>
      <c r="F49" s="107"/>
      <c r="H49" s="176"/>
    </row>
    <row r="50" spans="1:12" ht="18.75" x14ac:dyDescent="0.3">
      <c r="C50" s="191" t="s">
        <v>78</v>
      </c>
      <c r="D50" s="192">
        <f>AVERAGE(E38:E41,G38:G41)</f>
        <v>7773819.4593040785</v>
      </c>
      <c r="F50" s="107"/>
      <c r="H50" s="176"/>
    </row>
    <row r="51" spans="1:12" ht="18.75" x14ac:dyDescent="0.3">
      <c r="C51" s="103" t="s">
        <v>79</v>
      </c>
      <c r="D51" s="108">
        <f>STDEV(E38:E41,G38:G41)/D50</f>
        <v>2.7386470967052522E-3</v>
      </c>
      <c r="F51" s="107"/>
    </row>
    <row r="52" spans="1:12" ht="19.5" customHeight="1" x14ac:dyDescent="0.3">
      <c r="C52" s="105" t="s">
        <v>19</v>
      </c>
      <c r="D52" s="109">
        <f>COUNT(E38:E41,G38:G41)</f>
        <v>6</v>
      </c>
      <c r="F52" s="107"/>
    </row>
    <row r="54" spans="1:12" ht="18.75" x14ac:dyDescent="0.3">
      <c r="A54" s="65" t="s">
        <v>1</v>
      </c>
      <c r="B54" s="110" t="s">
        <v>80</v>
      </c>
    </row>
    <row r="55" spans="1:12" ht="18.75" x14ac:dyDescent="0.3">
      <c r="A55" s="66" t="s">
        <v>81</v>
      </c>
      <c r="B55" s="69" t="str">
        <f>B21</f>
        <v>Each tablet contains:
Artemether 40 mg
Lumefantrine 240 mg</v>
      </c>
    </row>
    <row r="56" spans="1:12" ht="26.25" customHeight="1" x14ac:dyDescent="0.4">
      <c r="A56" s="68" t="s">
        <v>82</v>
      </c>
      <c r="B56" s="203">
        <v>240</v>
      </c>
      <c r="C56" s="66" t="str">
        <f>B20</f>
        <v xml:space="preserve">Artemether  Lumefantrine </v>
      </c>
      <c r="H56" s="75"/>
    </row>
    <row r="57" spans="1:12" ht="18.75" x14ac:dyDescent="0.3">
      <c r="A57" s="69" t="s">
        <v>83</v>
      </c>
      <c r="B57" s="202">
        <f>Uniformity!C46</f>
        <v>554.51049999999987</v>
      </c>
      <c r="H57" s="75"/>
    </row>
    <row r="58" spans="1:12" ht="19.5" customHeight="1" x14ac:dyDescent="0.3">
      <c r="H58" s="75"/>
    </row>
    <row r="59" spans="1:12" s="5" customFormat="1" ht="27" customHeight="1" thickBot="1" x14ac:dyDescent="0.45">
      <c r="A59" s="84" t="s">
        <v>84</v>
      </c>
      <c r="B59" s="206">
        <v>100</v>
      </c>
      <c r="C59" s="66"/>
      <c r="D59" s="112" t="s">
        <v>85</v>
      </c>
      <c r="E59" s="111" t="s">
        <v>86</v>
      </c>
      <c r="F59" s="111" t="s">
        <v>59</v>
      </c>
      <c r="G59" s="111" t="s">
        <v>87</v>
      </c>
      <c r="H59" s="87" t="s">
        <v>88</v>
      </c>
      <c r="L59" s="76"/>
    </row>
    <row r="60" spans="1:12" s="5" customFormat="1" ht="22.5" customHeight="1" x14ac:dyDescent="0.4">
      <c r="A60" s="85" t="s">
        <v>89</v>
      </c>
      <c r="B60" s="207">
        <v>5</v>
      </c>
      <c r="C60" s="445" t="s">
        <v>90</v>
      </c>
      <c r="D60" s="449">
        <v>145</v>
      </c>
      <c r="E60" s="269">
        <v>1</v>
      </c>
      <c r="F60" s="379">
        <v>8292329</v>
      </c>
      <c r="G60" s="147">
        <f>IF(ISBLANK(F60),"-",(F60/$D$50*$D$47*$B$68)*($B$57/$D$60))</f>
        <v>244.75698601330242</v>
      </c>
      <c r="H60" s="149">
        <f t="shared" ref="H60:H71" si="0">IF(ISBLANK(F60),"-",G60/$B$56)</f>
        <v>1.0198207750554267</v>
      </c>
      <c r="L60" s="76"/>
    </row>
    <row r="61" spans="1:12" s="5" customFormat="1" ht="26.25" customHeight="1" x14ac:dyDescent="0.4">
      <c r="A61" s="85" t="s">
        <v>91</v>
      </c>
      <c r="B61" s="207">
        <v>50</v>
      </c>
      <c r="C61" s="446"/>
      <c r="D61" s="450"/>
      <c r="E61" s="270">
        <v>2</v>
      </c>
      <c r="F61" s="374">
        <v>8298610</v>
      </c>
      <c r="G61" s="148">
        <f>IF(ISBLANK(F61),"-",(F61/$D$50*$D$47*$B$68)*($B$57/$D$60))</f>
        <v>244.94237646623191</v>
      </c>
      <c r="H61" s="150">
        <f t="shared" si="0"/>
        <v>1.0205932352759663</v>
      </c>
      <c r="L61" s="76"/>
    </row>
    <row r="62" spans="1:12" s="5" customFormat="1" ht="26.25" customHeight="1" x14ac:dyDescent="0.4">
      <c r="A62" s="85" t="s">
        <v>92</v>
      </c>
      <c r="B62" s="207">
        <v>1</v>
      </c>
      <c r="C62" s="446"/>
      <c r="D62" s="450"/>
      <c r="E62" s="270">
        <v>3</v>
      </c>
      <c r="F62" s="397">
        <v>8284683</v>
      </c>
      <c r="G62" s="148">
        <f>IF(ISBLANK(F62),"-",(F62/$D$50*$D$47*$B$68)*($B$57/$D$60))</f>
        <v>244.53130612107225</v>
      </c>
      <c r="H62" s="150">
        <f t="shared" si="0"/>
        <v>1.0188804421711344</v>
      </c>
      <c r="L62" s="76"/>
    </row>
    <row r="63" spans="1:12" ht="21" customHeight="1" thickBot="1" x14ac:dyDescent="0.45">
      <c r="A63" s="85" t="s">
        <v>93</v>
      </c>
      <c r="B63" s="207">
        <v>1</v>
      </c>
      <c r="C63" s="447"/>
      <c r="D63" s="451"/>
      <c r="E63" s="271">
        <v>4</v>
      </c>
      <c r="F63" s="380"/>
      <c r="G63" s="148" t="str">
        <f>IF(ISBLANK(F63),"-",(F63/$D$50*$D$47*$B$68)*($B$57/$D$60))</f>
        <v>-</v>
      </c>
      <c r="H63" s="150" t="str">
        <f t="shared" si="0"/>
        <v>-</v>
      </c>
    </row>
    <row r="64" spans="1:12" ht="26.25" customHeight="1" x14ac:dyDescent="0.4">
      <c r="A64" s="85" t="s">
        <v>94</v>
      </c>
      <c r="B64" s="207">
        <v>1</v>
      </c>
      <c r="C64" s="445" t="s">
        <v>95</v>
      </c>
      <c r="D64" s="449">
        <v>151.27000000000001</v>
      </c>
      <c r="E64" s="269">
        <v>1</v>
      </c>
      <c r="F64" s="379">
        <v>8389587</v>
      </c>
      <c r="G64" s="172">
        <f>IF(ISBLANK(F64),"-",(F64/$D$50*$D$47*$B$68)*($B$57/$D$64))</f>
        <v>237.36372533489256</v>
      </c>
      <c r="H64" s="169">
        <f t="shared" si="0"/>
        <v>0.98901552222871902</v>
      </c>
    </row>
    <row r="65" spans="1:8" ht="26.25" customHeight="1" x14ac:dyDescent="0.4">
      <c r="A65" s="85" t="s">
        <v>96</v>
      </c>
      <c r="B65" s="207">
        <v>1</v>
      </c>
      <c r="C65" s="446"/>
      <c r="D65" s="450"/>
      <c r="E65" s="270">
        <v>2</v>
      </c>
      <c r="F65" s="374">
        <v>8398598</v>
      </c>
      <c r="G65" s="173">
        <f>IF(ISBLANK(F65),"-",(F65/$D$50*$D$47*$B$68)*($B$57/$D$64))</f>
        <v>237.61867048642299</v>
      </c>
      <c r="H65" s="170">
        <f t="shared" si="0"/>
        <v>0.99007779369342908</v>
      </c>
    </row>
    <row r="66" spans="1:8" ht="26.25" customHeight="1" x14ac:dyDescent="0.4">
      <c r="A66" s="85" t="s">
        <v>97</v>
      </c>
      <c r="B66" s="207">
        <v>1</v>
      </c>
      <c r="C66" s="446"/>
      <c r="D66" s="450"/>
      <c r="E66" s="270">
        <v>3</v>
      </c>
      <c r="F66" s="374">
        <v>8409162</v>
      </c>
      <c r="G66" s="173">
        <f>IF(ISBLANK(F66),"-",(F66/$D$50*$D$47*$B$68)*($B$57/$D$64))</f>
        <v>237.91755413760126</v>
      </c>
      <c r="H66" s="170">
        <f t="shared" si="0"/>
        <v>0.99132314224000528</v>
      </c>
    </row>
    <row r="67" spans="1:8" ht="21" customHeight="1" thickBot="1" x14ac:dyDescent="0.45">
      <c r="A67" s="85" t="s">
        <v>98</v>
      </c>
      <c r="B67" s="207">
        <v>1</v>
      </c>
      <c r="C67" s="447"/>
      <c r="D67" s="451"/>
      <c r="E67" s="271">
        <v>4</v>
      </c>
      <c r="F67" s="380"/>
      <c r="G67" s="174" t="str">
        <f>IF(ISBLANK(F67),"-",(F67/$D$50*$D$47*$B$68)*($B$57/$D$64))</f>
        <v>-</v>
      </c>
      <c r="H67" s="171" t="str">
        <f t="shared" si="0"/>
        <v>-</v>
      </c>
    </row>
    <row r="68" spans="1:8" ht="21.75" customHeight="1" x14ac:dyDescent="0.4">
      <c r="A68" s="85" t="s">
        <v>99</v>
      </c>
      <c r="B68" s="181">
        <f>(B67/B66)*(B65/B64)*(B63/B62)*(B61/B60)*B59</f>
        <v>1000</v>
      </c>
      <c r="C68" s="445" t="s">
        <v>100</v>
      </c>
      <c r="D68" s="449">
        <v>149.49</v>
      </c>
      <c r="E68" s="269">
        <v>1</v>
      </c>
      <c r="F68" s="379">
        <v>8561538</v>
      </c>
      <c r="G68" s="172">
        <f>IF(ISBLANK(F68),"-",(F68/$D$50*$D$47*$B$68)*($B$57/$D$68))</f>
        <v>245.11292978824198</v>
      </c>
      <c r="H68" s="150">
        <f t="shared" si="0"/>
        <v>1.021303874117675</v>
      </c>
    </row>
    <row r="69" spans="1:8" ht="21.75" customHeight="1" thickBot="1" x14ac:dyDescent="0.45">
      <c r="A69" s="193" t="s">
        <v>101</v>
      </c>
      <c r="B69" s="194">
        <f>D47*B68/B56*B57</f>
        <v>138.62762499999997</v>
      </c>
      <c r="C69" s="446"/>
      <c r="D69" s="450"/>
      <c r="E69" s="270">
        <v>2</v>
      </c>
      <c r="F69" s="374">
        <v>8553927</v>
      </c>
      <c r="G69" s="173">
        <f>IF(ISBLANK(F69),"-",(F69/$D$50*$D$47*$B$68)*($B$57/$D$68))</f>
        <v>244.89503032804939</v>
      </c>
      <c r="H69" s="150">
        <f t="shared" si="0"/>
        <v>1.0203959597002057</v>
      </c>
    </row>
    <row r="70" spans="1:8" ht="22.5" customHeight="1" x14ac:dyDescent="0.4">
      <c r="A70" s="459" t="s">
        <v>73</v>
      </c>
      <c r="B70" s="460"/>
      <c r="C70" s="446"/>
      <c r="D70" s="450"/>
      <c r="E70" s="270">
        <v>3</v>
      </c>
      <c r="F70" s="374">
        <v>8553465</v>
      </c>
      <c r="G70" s="173">
        <f>IF(ISBLANK(F70),"-",(F70/$D$50*$D$47*$B$68)*($B$57/$D$68))</f>
        <v>244.88180347867234</v>
      </c>
      <c r="H70" s="150">
        <f t="shared" si="0"/>
        <v>1.0203408478278013</v>
      </c>
    </row>
    <row r="71" spans="1:8" ht="21.75" customHeight="1" thickBot="1" x14ac:dyDescent="0.45">
      <c r="A71" s="461"/>
      <c r="B71" s="462"/>
      <c r="C71" s="448"/>
      <c r="D71" s="451"/>
      <c r="E71" s="271">
        <v>4</v>
      </c>
      <c r="F71" s="380"/>
      <c r="G71" s="174" t="str">
        <f>IF(ISBLANK(F71),"-",(F71/$D$50*$D$47*$B$68)*($B$57/$D$68))</f>
        <v>-</v>
      </c>
      <c r="H71" s="151" t="str">
        <f t="shared" si="0"/>
        <v>-</v>
      </c>
    </row>
    <row r="72" spans="1:8" ht="26.25" customHeight="1" x14ac:dyDescent="0.4">
      <c r="A72" s="113"/>
      <c r="B72" s="113"/>
      <c r="C72" s="113"/>
      <c r="D72" s="113"/>
      <c r="E72" s="113"/>
      <c r="F72" s="114"/>
      <c r="G72" s="106" t="s">
        <v>66</v>
      </c>
      <c r="H72" s="214">
        <f>AVERAGE(H60:H71)</f>
        <v>1.0101946213678181</v>
      </c>
    </row>
    <row r="73" spans="1:8" ht="26.25" customHeight="1" x14ac:dyDescent="0.4">
      <c r="C73" s="113"/>
      <c r="D73" s="113"/>
      <c r="E73" s="113"/>
      <c r="F73" s="114"/>
      <c r="G73" s="103" t="s">
        <v>79</v>
      </c>
      <c r="H73" s="215">
        <f>STDEV(H60:H71)/H72</f>
        <v>1.4914635713088037E-2</v>
      </c>
    </row>
    <row r="74" spans="1:8" ht="27" customHeight="1" x14ac:dyDescent="0.4">
      <c r="A74" s="113"/>
      <c r="B74" s="113"/>
      <c r="C74" s="114"/>
      <c r="D74" s="114"/>
      <c r="E74" s="115"/>
      <c r="F74" s="114"/>
      <c r="G74" s="105" t="s">
        <v>19</v>
      </c>
      <c r="H74" s="216">
        <f>COUNT(H60:H71)</f>
        <v>9</v>
      </c>
    </row>
    <row r="75" spans="1:8" ht="18.75" x14ac:dyDescent="0.3">
      <c r="A75" s="113"/>
      <c r="B75" s="113"/>
      <c r="C75" s="114"/>
      <c r="D75" s="114"/>
      <c r="E75" s="115"/>
      <c r="F75" s="114"/>
      <c r="G75" s="136"/>
      <c r="H75" s="182"/>
    </row>
    <row r="76" spans="1:8" ht="18.75" x14ac:dyDescent="0.3">
      <c r="A76" s="72" t="s">
        <v>102</v>
      </c>
      <c r="B76" s="199" t="s">
        <v>103</v>
      </c>
      <c r="C76" s="435" t="str">
        <f>B20</f>
        <v xml:space="preserve">Artemether  Lumefantrine </v>
      </c>
      <c r="D76" s="435"/>
      <c r="E76" s="200" t="s">
        <v>104</v>
      </c>
      <c r="F76" s="200"/>
      <c r="G76" s="201">
        <f>H72</f>
        <v>1.0101946213678181</v>
      </c>
      <c r="H76" s="182"/>
    </row>
    <row r="77" spans="1:8" ht="18.75" x14ac:dyDescent="0.3">
      <c r="A77" s="113"/>
      <c r="B77" s="113"/>
      <c r="C77" s="114"/>
      <c r="D77" s="114"/>
      <c r="E77" s="115"/>
      <c r="F77" s="114"/>
      <c r="G77" s="136"/>
      <c r="H77" s="182"/>
    </row>
    <row r="78" spans="1:8" ht="26.25" customHeight="1" x14ac:dyDescent="0.4">
      <c r="A78" s="71" t="s">
        <v>105</v>
      </c>
      <c r="B78" s="71" t="s">
        <v>106</v>
      </c>
      <c r="D78" s="217" t="s">
        <v>107</v>
      </c>
    </row>
    <row r="79" spans="1:8" ht="18.75" x14ac:dyDescent="0.3">
      <c r="A79" s="71"/>
      <c r="B79" s="71"/>
    </row>
    <row r="80" spans="1:8" ht="26.25" customHeight="1" x14ac:dyDescent="0.4">
      <c r="A80" s="72" t="s">
        <v>4</v>
      </c>
      <c r="B80" s="203" t="str">
        <f>B26</f>
        <v xml:space="preserve">LUMEFANTRINE </v>
      </c>
      <c r="C80" s="219"/>
    </row>
    <row r="81" spans="1:12" ht="26.25" customHeight="1" x14ac:dyDescent="0.4">
      <c r="A81" s="74" t="s">
        <v>44</v>
      </c>
      <c r="B81" s="203" t="str">
        <f>B27</f>
        <v>WS/14/046</v>
      </c>
    </row>
    <row r="82" spans="1:12" ht="27" customHeight="1" x14ac:dyDescent="0.4">
      <c r="A82" s="74" t="s">
        <v>6</v>
      </c>
      <c r="B82" s="203">
        <f>B28</f>
        <v>100.2</v>
      </c>
    </row>
    <row r="83" spans="1:12" s="5" customFormat="1" ht="27" customHeight="1" x14ac:dyDescent="0.4">
      <c r="A83" s="74" t="s">
        <v>45</v>
      </c>
      <c r="B83" s="203">
        <f>B29</f>
        <v>0</v>
      </c>
      <c r="C83" s="437" t="s">
        <v>46</v>
      </c>
      <c r="D83" s="438"/>
      <c r="E83" s="438"/>
      <c r="F83" s="438"/>
      <c r="G83" s="439"/>
      <c r="I83" s="76"/>
      <c r="J83" s="76"/>
      <c r="K83" s="76"/>
      <c r="L83" s="76"/>
    </row>
    <row r="84" spans="1:12" s="5" customFormat="1" ht="18.75" x14ac:dyDescent="0.3">
      <c r="A84" s="74" t="s">
        <v>47</v>
      </c>
      <c r="B84" s="73">
        <f>B82-B83</f>
        <v>100.2</v>
      </c>
      <c r="C84" s="77"/>
      <c r="D84" s="77"/>
      <c r="E84" s="77"/>
      <c r="F84" s="77"/>
      <c r="G84" s="78"/>
      <c r="I84" s="76"/>
      <c r="J84" s="76"/>
      <c r="K84" s="76"/>
      <c r="L84" s="76"/>
    </row>
    <row r="85" spans="1:12" s="5" customFormat="1" ht="19.5" customHeight="1" x14ac:dyDescent="0.3">
      <c r="A85" s="74"/>
      <c r="B85" s="73"/>
      <c r="C85" s="77"/>
      <c r="D85" s="77"/>
      <c r="E85" s="77"/>
      <c r="F85" s="77"/>
      <c r="G85" s="78"/>
      <c r="I85" s="76"/>
      <c r="J85" s="76"/>
      <c r="K85" s="76"/>
      <c r="L85" s="76"/>
    </row>
    <row r="86" spans="1:12" s="5" customFormat="1" ht="27" customHeight="1" x14ac:dyDescent="0.4">
      <c r="A86" s="74" t="s">
        <v>48</v>
      </c>
      <c r="B86" s="205">
        <v>1</v>
      </c>
      <c r="C86" s="442" t="s">
        <v>49</v>
      </c>
      <c r="D86" s="443"/>
      <c r="E86" s="443"/>
      <c r="F86" s="443"/>
      <c r="G86" s="443"/>
      <c r="H86" s="444"/>
      <c r="I86" s="76"/>
      <c r="J86" s="76"/>
      <c r="K86" s="76"/>
      <c r="L86" s="76"/>
    </row>
    <row r="87" spans="1:12" s="5" customFormat="1" ht="27" customHeight="1" x14ac:dyDescent="0.4">
      <c r="A87" s="74" t="s">
        <v>50</v>
      </c>
      <c r="B87" s="205">
        <v>1</v>
      </c>
      <c r="C87" s="442" t="s">
        <v>51</v>
      </c>
      <c r="D87" s="443"/>
      <c r="E87" s="443"/>
      <c r="F87" s="443"/>
      <c r="G87" s="443"/>
      <c r="H87" s="444"/>
      <c r="I87" s="76"/>
      <c r="J87" s="76"/>
      <c r="K87" s="76"/>
      <c r="L87" s="76"/>
    </row>
    <row r="88" spans="1:12" s="5" customFormat="1" ht="18.75" x14ac:dyDescent="0.3">
      <c r="A88" s="74"/>
      <c r="B88" s="73"/>
      <c r="C88" s="77"/>
      <c r="D88" s="77"/>
      <c r="E88" s="77"/>
      <c r="F88" s="77"/>
      <c r="G88" s="78"/>
      <c r="I88" s="76"/>
      <c r="J88" s="76"/>
      <c r="K88" s="76"/>
      <c r="L88" s="76"/>
    </row>
    <row r="89" spans="1:12" ht="18.75" x14ac:dyDescent="0.3">
      <c r="A89" s="74" t="s">
        <v>52</v>
      </c>
      <c r="B89" s="83">
        <f>B86/B87</f>
        <v>1</v>
      </c>
      <c r="C89" s="66" t="s">
        <v>53</v>
      </c>
    </row>
    <row r="90" spans="1:12" ht="19.5" customHeight="1" x14ac:dyDescent="0.3">
      <c r="A90" s="74"/>
      <c r="B90" s="83"/>
    </row>
    <row r="91" spans="1:12" ht="27" customHeight="1" x14ac:dyDescent="0.4">
      <c r="A91" s="84" t="s">
        <v>54</v>
      </c>
      <c r="B91" s="371">
        <v>50</v>
      </c>
      <c r="D91" s="145" t="s">
        <v>55</v>
      </c>
      <c r="E91" s="146"/>
      <c r="F91" s="440" t="s">
        <v>56</v>
      </c>
      <c r="G91" s="441"/>
    </row>
    <row r="92" spans="1:12" ht="26.25" customHeight="1" x14ac:dyDescent="0.4">
      <c r="A92" s="85" t="s">
        <v>57</v>
      </c>
      <c r="B92" s="372">
        <v>5</v>
      </c>
      <c r="C92" s="142" t="s">
        <v>58</v>
      </c>
      <c r="D92" s="88" t="s">
        <v>59</v>
      </c>
      <c r="E92" s="143" t="s">
        <v>60</v>
      </c>
      <c r="F92" s="88" t="s">
        <v>59</v>
      </c>
      <c r="G92" s="89" t="s">
        <v>60</v>
      </c>
    </row>
    <row r="93" spans="1:12" ht="26.25" customHeight="1" x14ac:dyDescent="0.4">
      <c r="A93" s="85" t="s">
        <v>61</v>
      </c>
      <c r="B93" s="372">
        <v>20</v>
      </c>
      <c r="C93" s="141">
        <v>1</v>
      </c>
      <c r="D93" s="208">
        <v>0.69330000000000003</v>
      </c>
      <c r="E93" s="157">
        <f>IF(ISBLANK(D93),"-",$D$103/$D$100*D93)</f>
        <v>0.67122021115408637</v>
      </c>
      <c r="F93" s="208">
        <v>0.7298</v>
      </c>
      <c r="G93" s="160">
        <f>IF(ISBLANK(F93),"-",$D$103/$F$100*F93)</f>
        <v>0.66414283894217641</v>
      </c>
    </row>
    <row r="94" spans="1:12" ht="26.25" customHeight="1" x14ac:dyDescent="0.4">
      <c r="A94" s="85" t="s">
        <v>62</v>
      </c>
      <c r="B94" s="207">
        <v>1</v>
      </c>
      <c r="C94" s="114">
        <v>2</v>
      </c>
      <c r="D94" s="209">
        <v>0.69730000000000003</v>
      </c>
      <c r="E94" s="158">
        <f>IF(ISBLANK(D94),"-",$D$103/$D$100*D94)</f>
        <v>0.67509282163240225</v>
      </c>
      <c r="F94" s="209">
        <v>0.72430000000000005</v>
      </c>
      <c r="G94" s="161">
        <f>IF(ISBLANK(F94),"-",$D$103/$F$100*F94)</f>
        <v>0.6591376517481754</v>
      </c>
    </row>
    <row r="95" spans="1:12" ht="26.25" customHeight="1" x14ac:dyDescent="0.4">
      <c r="A95" s="85" t="s">
        <v>63</v>
      </c>
      <c r="B95" s="207">
        <v>1</v>
      </c>
      <c r="C95" s="114">
        <v>3</v>
      </c>
      <c r="D95" s="209">
        <v>0.69420000000000004</v>
      </c>
      <c r="E95" s="158">
        <f>IF(ISBLANK(D95),"-",$D$103/$D$100*D95)</f>
        <v>0.67209154851170749</v>
      </c>
      <c r="F95" s="209">
        <v>0.7248</v>
      </c>
      <c r="G95" s="161">
        <f>IF(ISBLANK(F95),"-",$D$103/$F$100*F95)</f>
        <v>0.6595926687658118</v>
      </c>
    </row>
    <row r="96" spans="1:12" ht="26.25" customHeight="1" x14ac:dyDescent="0.4">
      <c r="A96" s="85" t="s">
        <v>64</v>
      </c>
      <c r="B96" s="207">
        <v>1</v>
      </c>
      <c r="C96" s="144">
        <v>4</v>
      </c>
      <c r="D96" s="210"/>
      <c r="E96" s="159" t="str">
        <f>IF(ISBLANK(D96),"-",$D$103/$D$100*D96)</f>
        <v>-</v>
      </c>
      <c r="F96" s="218"/>
      <c r="G96" s="162" t="str">
        <f>IF(ISBLANK(F96),"-",$D$103/$F$100*F96)</f>
        <v>-</v>
      </c>
    </row>
    <row r="97" spans="1:10" ht="27" customHeight="1" x14ac:dyDescent="0.4">
      <c r="A97" s="85" t="s">
        <v>65</v>
      </c>
      <c r="B97" s="207">
        <v>1</v>
      </c>
      <c r="C97" s="136" t="s">
        <v>66</v>
      </c>
      <c r="D97" s="419">
        <f>AVERAGE(D93:D96)</f>
        <v>0.69493333333333329</v>
      </c>
      <c r="E97" s="420">
        <f>AVERAGE(E93:E96)</f>
        <v>0.67280152709939867</v>
      </c>
      <c r="F97" s="421">
        <f>AVERAGE(F93:F96)</f>
        <v>0.72630000000000006</v>
      </c>
      <c r="G97" s="422">
        <f>AVERAGE(G93:G96)</f>
        <v>0.6609577198187212</v>
      </c>
    </row>
    <row r="98" spans="1:10" ht="26.25" customHeight="1" x14ac:dyDescent="0.4">
      <c r="A98" s="85" t="s">
        <v>67</v>
      </c>
      <c r="B98" s="204">
        <v>1</v>
      </c>
      <c r="C98" s="185" t="s">
        <v>68</v>
      </c>
      <c r="D98" s="211">
        <v>24.74</v>
      </c>
      <c r="E98" s="92"/>
      <c r="F98" s="212">
        <v>26.32</v>
      </c>
    </row>
    <row r="99" spans="1:10" ht="26.25" customHeight="1" x14ac:dyDescent="0.4">
      <c r="A99" s="85" t="s">
        <v>69</v>
      </c>
      <c r="B99" s="204">
        <v>1</v>
      </c>
      <c r="C99" s="186" t="s">
        <v>70</v>
      </c>
      <c r="D99" s="187">
        <f>D98*$B$89</f>
        <v>24.74</v>
      </c>
      <c r="E99" s="99"/>
      <c r="F99" s="98">
        <f>F98*$B$89</f>
        <v>26.32</v>
      </c>
    </row>
    <row r="100" spans="1:10" ht="19.5" customHeight="1" x14ac:dyDescent="0.3">
      <c r="A100" s="85" t="s">
        <v>71</v>
      </c>
      <c r="B100" s="183">
        <f>(B99/B98)*(B97/B96)*(B95/B94)*(B93/B92)*B91</f>
        <v>200</v>
      </c>
      <c r="C100" s="186" t="s">
        <v>72</v>
      </c>
      <c r="D100" s="188">
        <f>D99*$B$84/100</f>
        <v>24.789479999999998</v>
      </c>
      <c r="E100" s="101"/>
      <c r="F100" s="100">
        <f>F99*$B$84/100</f>
        <v>26.372640000000001</v>
      </c>
    </row>
    <row r="101" spans="1:10" ht="19.5" customHeight="1" x14ac:dyDescent="0.3">
      <c r="A101" s="453" t="s">
        <v>73</v>
      </c>
      <c r="B101" s="457"/>
      <c r="C101" s="186" t="s">
        <v>74</v>
      </c>
      <c r="D101" s="187">
        <f>D100/$B$100</f>
        <v>0.12394739999999999</v>
      </c>
      <c r="E101" s="101"/>
      <c r="F101" s="102">
        <f>F100/$B$100</f>
        <v>0.13186320000000001</v>
      </c>
      <c r="G101" s="175"/>
      <c r="H101" s="176"/>
    </row>
    <row r="102" spans="1:10" ht="19.5" customHeight="1" x14ac:dyDescent="0.3">
      <c r="A102" s="455"/>
      <c r="B102" s="458"/>
      <c r="C102" s="186" t="s">
        <v>75</v>
      </c>
      <c r="D102" s="195">
        <f>$B$56/$B$118</f>
        <v>0.12</v>
      </c>
      <c r="F102" s="104"/>
      <c r="G102" s="177"/>
      <c r="H102" s="176"/>
    </row>
    <row r="103" spans="1:10" ht="18.75" x14ac:dyDescent="0.3">
      <c r="C103" s="186" t="s">
        <v>76</v>
      </c>
      <c r="D103" s="187">
        <f>D102*$B$100</f>
        <v>24</v>
      </c>
      <c r="F103" s="104"/>
      <c r="G103" s="175"/>
      <c r="H103" s="176"/>
    </row>
    <row r="104" spans="1:10" ht="19.5" customHeight="1" x14ac:dyDescent="0.3">
      <c r="C104" s="189" t="s">
        <v>77</v>
      </c>
      <c r="D104" s="196">
        <f>D103/B34</f>
        <v>24</v>
      </c>
      <c r="F104" s="107"/>
      <c r="G104" s="175"/>
      <c r="H104" s="176"/>
      <c r="J104" s="118"/>
    </row>
    <row r="105" spans="1:10" ht="18.75" x14ac:dyDescent="0.3">
      <c r="C105" s="191" t="s">
        <v>78</v>
      </c>
      <c r="D105" s="192">
        <f>AVERAGE(E93:E96,G93:G96)</f>
        <v>0.66687962345906004</v>
      </c>
      <c r="F105" s="107"/>
      <c r="G105" s="178"/>
      <c r="H105" s="176"/>
      <c r="J105" s="120"/>
    </row>
    <row r="106" spans="1:10" ht="18.75" x14ac:dyDescent="0.3">
      <c r="C106" s="103" t="s">
        <v>79</v>
      </c>
      <c r="D106" s="119">
        <f>STDEV(E93:E96,G93:G96)/D105</f>
        <v>1.0258067700710903E-2</v>
      </c>
      <c r="F106" s="107"/>
      <c r="G106" s="175"/>
      <c r="H106" s="176"/>
      <c r="J106" s="120"/>
    </row>
    <row r="107" spans="1:10" ht="19.5" customHeight="1" x14ac:dyDescent="0.3">
      <c r="C107" s="105" t="s">
        <v>19</v>
      </c>
      <c r="D107" s="121">
        <f>COUNT(E93:E96,G93:G96)</f>
        <v>6</v>
      </c>
      <c r="F107" s="107"/>
      <c r="G107" s="175"/>
      <c r="H107" s="176"/>
      <c r="J107" s="120"/>
    </row>
    <row r="108" spans="1:10" ht="19.5" customHeight="1" x14ac:dyDescent="0.3">
      <c r="A108" s="65"/>
      <c r="B108" s="65"/>
      <c r="C108" s="65"/>
      <c r="D108" s="65"/>
      <c r="E108" s="65"/>
    </row>
    <row r="109" spans="1:10" ht="26.25" customHeight="1" x14ac:dyDescent="0.4">
      <c r="A109" s="84" t="s">
        <v>108</v>
      </c>
      <c r="B109" s="206">
        <v>1000</v>
      </c>
      <c r="C109" s="122" t="s">
        <v>109</v>
      </c>
      <c r="D109" s="123" t="s">
        <v>59</v>
      </c>
      <c r="E109" s="124" t="s">
        <v>110</v>
      </c>
      <c r="F109" s="125" t="s">
        <v>111</v>
      </c>
    </row>
    <row r="110" spans="1:10" ht="26.25" customHeight="1" x14ac:dyDescent="0.4">
      <c r="A110" s="85" t="s">
        <v>89</v>
      </c>
      <c r="B110" s="207">
        <v>10</v>
      </c>
      <c r="C110" s="91">
        <v>1</v>
      </c>
      <c r="D110" s="423">
        <v>0.46429999999999999</v>
      </c>
      <c r="E110" s="126">
        <f t="shared" ref="E110:E115" si="1">IF(ISBLANK(D110),"-",D110/$D$105*$D$102*$B$118)</f>
        <v>167.09462409723909</v>
      </c>
      <c r="F110" s="127">
        <f t="shared" ref="F110:F115" si="2">IF(ISBLANK(D110), "-", E110/$B$56)</f>
        <v>0.69622760040516285</v>
      </c>
    </row>
    <row r="111" spans="1:10" ht="26.25" customHeight="1" x14ac:dyDescent="0.4">
      <c r="A111" s="85" t="s">
        <v>91</v>
      </c>
      <c r="B111" s="207">
        <v>20</v>
      </c>
      <c r="C111" s="91">
        <v>2</v>
      </c>
      <c r="D111" s="423">
        <v>0.52969999999999995</v>
      </c>
      <c r="E111" s="128">
        <f t="shared" si="1"/>
        <v>190.63110571679417</v>
      </c>
      <c r="F111" s="152">
        <f t="shared" si="2"/>
        <v>0.7942962738199757</v>
      </c>
    </row>
    <row r="112" spans="1:10" ht="26.25" customHeight="1" x14ac:dyDescent="0.4">
      <c r="A112" s="85" t="s">
        <v>92</v>
      </c>
      <c r="B112" s="207">
        <v>1</v>
      </c>
      <c r="C112" s="91">
        <v>3</v>
      </c>
      <c r="D112" s="423">
        <v>0.46729999999999999</v>
      </c>
      <c r="E112" s="128">
        <f t="shared" si="1"/>
        <v>168.17427921740219</v>
      </c>
      <c r="F112" s="152">
        <f t="shared" si="2"/>
        <v>0.70072616340584248</v>
      </c>
    </row>
    <row r="113" spans="1:10" ht="26.25" customHeight="1" x14ac:dyDescent="0.4">
      <c r="A113" s="85" t="s">
        <v>93</v>
      </c>
      <c r="B113" s="207">
        <v>1</v>
      </c>
      <c r="C113" s="91">
        <v>4</v>
      </c>
      <c r="D113" s="423">
        <v>0.46610000000000001</v>
      </c>
      <c r="E113" s="128">
        <f t="shared" si="1"/>
        <v>167.74241716933696</v>
      </c>
      <c r="F113" s="152">
        <f t="shared" si="2"/>
        <v>0.69892673820557072</v>
      </c>
    </row>
    <row r="114" spans="1:10" ht="26.25" customHeight="1" x14ac:dyDescent="0.4">
      <c r="A114" s="85" t="s">
        <v>94</v>
      </c>
      <c r="B114" s="207">
        <v>1</v>
      </c>
      <c r="C114" s="91">
        <v>5</v>
      </c>
      <c r="D114" s="423">
        <v>0.51219999999999999</v>
      </c>
      <c r="E114" s="128">
        <f t="shared" si="1"/>
        <v>184.3331175158429</v>
      </c>
      <c r="F114" s="152">
        <f t="shared" si="2"/>
        <v>0.76805465631601211</v>
      </c>
    </row>
    <row r="115" spans="1:10" ht="26.25" customHeight="1" x14ac:dyDescent="0.4">
      <c r="A115" s="85" t="s">
        <v>96</v>
      </c>
      <c r="B115" s="207">
        <v>1</v>
      </c>
      <c r="C115" s="94">
        <v>6</v>
      </c>
      <c r="D115" s="424">
        <v>0.49440000000000001</v>
      </c>
      <c r="E115" s="129">
        <f t="shared" si="1"/>
        <v>177.92716380287533</v>
      </c>
      <c r="F115" s="153">
        <f t="shared" si="2"/>
        <v>0.74136318251198052</v>
      </c>
    </row>
    <row r="116" spans="1:10" ht="26.25" customHeight="1" x14ac:dyDescent="0.4">
      <c r="A116" s="85" t="s">
        <v>97</v>
      </c>
      <c r="B116" s="207">
        <v>1</v>
      </c>
      <c r="C116" s="91"/>
      <c r="D116" s="114"/>
      <c r="E116" s="116"/>
      <c r="F116" s="130"/>
    </row>
    <row r="117" spans="1:10" ht="26.25" customHeight="1" x14ac:dyDescent="0.4">
      <c r="A117" s="85" t="s">
        <v>98</v>
      </c>
      <c r="B117" s="207">
        <v>1</v>
      </c>
      <c r="C117" s="91"/>
      <c r="D117" s="131"/>
      <c r="E117" s="132" t="s">
        <v>66</v>
      </c>
      <c r="F117" s="133">
        <f>AVERAGE(F110:F115)</f>
        <v>0.73326576911075747</v>
      </c>
    </row>
    <row r="118" spans="1:10" ht="19.5" customHeight="1" x14ac:dyDescent="0.3">
      <c r="A118" s="85" t="s">
        <v>99</v>
      </c>
      <c r="B118" s="180">
        <f>(B117/B116)*(B115/B114)*(B113/B112)*(B111/B110)*B109</f>
        <v>2000</v>
      </c>
      <c r="C118" s="134"/>
      <c r="D118" s="135"/>
      <c r="E118" s="136" t="s">
        <v>79</v>
      </c>
      <c r="F118" s="137">
        <f>STDEV(F110:F115)/F117</f>
        <v>5.6593258523880863E-2</v>
      </c>
      <c r="I118" s="116"/>
    </row>
    <row r="119" spans="1:10" ht="19.5" customHeight="1" x14ac:dyDescent="0.3">
      <c r="A119" s="453" t="s">
        <v>73</v>
      </c>
      <c r="B119" s="454"/>
      <c r="C119" s="138"/>
      <c r="D119" s="139"/>
      <c r="E119" s="140" t="s">
        <v>19</v>
      </c>
      <c r="F119" s="121">
        <f>COUNT(F110:F115)</f>
        <v>6</v>
      </c>
      <c r="I119" s="116"/>
      <c r="J119" s="120"/>
    </row>
    <row r="120" spans="1:10" ht="19.5" customHeight="1" x14ac:dyDescent="0.3">
      <c r="A120" s="455"/>
      <c r="B120" s="456"/>
      <c r="C120" s="116"/>
      <c r="D120" s="116"/>
      <c r="E120" s="116"/>
      <c r="F120" s="114"/>
      <c r="G120" s="116"/>
      <c r="H120" s="116"/>
      <c r="I120" s="116"/>
    </row>
    <row r="121" spans="1:10" ht="18.75" x14ac:dyDescent="0.3">
      <c r="A121" s="82"/>
      <c r="B121" s="82"/>
      <c r="C121" s="116"/>
      <c r="D121" s="116"/>
      <c r="E121" s="116"/>
      <c r="F121" s="114"/>
      <c r="G121" s="116"/>
      <c r="H121" s="116"/>
      <c r="I121" s="116"/>
    </row>
    <row r="122" spans="1:10" ht="18.75" x14ac:dyDescent="0.3">
      <c r="A122" s="72" t="s">
        <v>102</v>
      </c>
      <c r="B122" s="199" t="s">
        <v>103</v>
      </c>
      <c r="C122" s="435" t="str">
        <f>B20</f>
        <v xml:space="preserve">Artemether  Lumefantrine </v>
      </c>
      <c r="D122" s="435"/>
      <c r="E122" s="200" t="s">
        <v>112</v>
      </c>
      <c r="F122" s="200"/>
      <c r="G122" s="201">
        <f>F117</f>
        <v>0.73326576911075747</v>
      </c>
      <c r="H122" s="116"/>
      <c r="I122" s="116"/>
    </row>
    <row r="123" spans="1:10" ht="19.5" thickBot="1" x14ac:dyDescent="0.35">
      <c r="A123" s="82"/>
      <c r="B123" s="82"/>
      <c r="C123" s="116"/>
      <c r="D123" s="116"/>
      <c r="E123" s="116"/>
      <c r="F123" s="114"/>
      <c r="G123" s="116"/>
      <c r="H123" s="116"/>
      <c r="I123" s="116"/>
    </row>
    <row r="124" spans="1:10" ht="18.75" x14ac:dyDescent="0.3">
      <c r="B124" s="436" t="s">
        <v>22</v>
      </c>
      <c r="C124" s="436"/>
      <c r="E124" s="142" t="s">
        <v>23</v>
      </c>
      <c r="F124" s="167"/>
      <c r="G124" s="436" t="s">
        <v>24</v>
      </c>
      <c r="H124" s="436"/>
    </row>
    <row r="125" spans="1:10" ht="83.1" customHeight="1" x14ac:dyDescent="0.3">
      <c r="A125" s="168" t="s">
        <v>25</v>
      </c>
      <c r="B125" s="197"/>
      <c r="C125" s="197"/>
      <c r="E125" s="163"/>
      <c r="F125" s="116"/>
      <c r="G125" s="165"/>
      <c r="H125" s="165"/>
    </row>
    <row r="126" spans="1:10" ht="83.1" customHeight="1" x14ac:dyDescent="0.3">
      <c r="A126" s="168" t="s">
        <v>26</v>
      </c>
      <c r="B126" s="198"/>
      <c r="C126" s="198"/>
      <c r="E126" s="164"/>
      <c r="F126" s="116"/>
      <c r="G126" s="166"/>
      <c r="H126" s="166"/>
    </row>
    <row r="127" spans="1:10" ht="18.75" x14ac:dyDescent="0.3">
      <c r="A127" s="113"/>
      <c r="B127" s="113"/>
      <c r="C127" s="114"/>
      <c r="D127" s="114"/>
      <c r="E127" s="114"/>
      <c r="F127" s="115"/>
      <c r="G127" s="114"/>
      <c r="H127" s="114"/>
      <c r="I127" s="116"/>
    </row>
    <row r="128" spans="1:10" ht="18.75" x14ac:dyDescent="0.3">
      <c r="A128" s="113"/>
      <c r="B128" s="113"/>
      <c r="C128" s="114"/>
      <c r="D128" s="114"/>
      <c r="E128" s="114"/>
      <c r="F128" s="115"/>
      <c r="G128" s="114"/>
      <c r="H128" s="114"/>
      <c r="I128" s="116"/>
    </row>
    <row r="129" spans="1:9" ht="18.75" x14ac:dyDescent="0.3">
      <c r="A129" s="113"/>
      <c r="B129" s="113"/>
      <c r="C129" s="114"/>
      <c r="D129" s="114"/>
      <c r="E129" s="114"/>
      <c r="F129" s="115"/>
      <c r="G129" s="114"/>
      <c r="H129" s="114"/>
      <c r="I129" s="116"/>
    </row>
    <row r="130" spans="1:9" ht="18.75" x14ac:dyDescent="0.3">
      <c r="A130" s="113"/>
      <c r="B130" s="113"/>
      <c r="C130" s="114"/>
      <c r="D130" s="114"/>
      <c r="E130" s="114"/>
      <c r="F130" s="115"/>
      <c r="G130" s="114"/>
      <c r="H130" s="114"/>
      <c r="I130" s="116"/>
    </row>
    <row r="131" spans="1:9" ht="18.75" x14ac:dyDescent="0.3">
      <c r="A131" s="113"/>
      <c r="B131" s="113"/>
      <c r="C131" s="114"/>
      <c r="D131" s="114"/>
      <c r="E131" s="114"/>
      <c r="F131" s="115"/>
      <c r="G131" s="114"/>
      <c r="H131" s="114"/>
      <c r="I131" s="116"/>
    </row>
    <row r="132" spans="1:9" ht="18.75" x14ac:dyDescent="0.3">
      <c r="A132" s="113"/>
      <c r="B132" s="113"/>
      <c r="C132" s="114"/>
      <c r="D132" s="114"/>
      <c r="E132" s="114"/>
      <c r="F132" s="115"/>
      <c r="G132" s="114"/>
      <c r="H132" s="114"/>
      <c r="I132" s="116"/>
    </row>
    <row r="133" spans="1:9" ht="18.75" x14ac:dyDescent="0.3">
      <c r="A133" s="113"/>
      <c r="B133" s="113"/>
      <c r="C133" s="114"/>
      <c r="D133" s="114"/>
      <c r="E133" s="114"/>
      <c r="F133" s="115"/>
      <c r="G133" s="114"/>
      <c r="H133" s="114"/>
      <c r="I133" s="116"/>
    </row>
    <row r="134" spans="1:9" ht="18.75" x14ac:dyDescent="0.3">
      <c r="A134" s="113"/>
      <c r="B134" s="113"/>
      <c r="C134" s="114"/>
      <c r="D134" s="114"/>
      <c r="E134" s="114"/>
      <c r="F134" s="115"/>
      <c r="G134" s="114"/>
      <c r="H134" s="114"/>
      <c r="I134" s="116"/>
    </row>
    <row r="135" spans="1:9" ht="18.75" x14ac:dyDescent="0.3">
      <c r="A135" s="113"/>
      <c r="B135" s="113"/>
      <c r="C135" s="114"/>
      <c r="D135" s="114"/>
      <c r="E135" s="114"/>
      <c r="F135" s="115"/>
      <c r="G135" s="114"/>
      <c r="H135" s="114"/>
      <c r="I135" s="116"/>
    </row>
    <row r="198" spans="1:1" x14ac:dyDescent="0.25">
      <c r="A198" s="2">
        <v>0</v>
      </c>
    </row>
  </sheetData>
  <sheetProtection formatCells="0" formatColumns="0" formatRows="0" insertColumns="0" insertRows="0" insertHyperlinks="0" deleteColumns="0" deleteRows="0" sort="0" autoFilter="0" pivotTables="0"/>
  <mergeCells count="28">
    <mergeCell ref="B124:C124"/>
    <mergeCell ref="B27:C27"/>
    <mergeCell ref="G124:H124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C122:D122"/>
    <mergeCell ref="F91:G91"/>
    <mergeCell ref="A101:B102"/>
    <mergeCell ref="A119:B120"/>
    <mergeCell ref="A46:B47"/>
    <mergeCell ref="C83:G83"/>
    <mergeCell ref="A70:B71"/>
    <mergeCell ref="C76:D76"/>
    <mergeCell ref="A1:H7"/>
    <mergeCell ref="A8:H14"/>
    <mergeCell ref="A16:H16"/>
    <mergeCell ref="C86:H86"/>
    <mergeCell ref="C87:H87"/>
    <mergeCell ref="B18:C18"/>
  </mergeCells>
  <printOptions horizontalCentered="1" verticalCentered="1"/>
  <pageMargins left="0.7" right="0.7" top="0.75" bottom="0.75" header="0.3" footer="0.3"/>
  <pageSetup paperSize="9" scale="24" orientation="portrait" blackAndWhite="1" r:id="rId1"/>
  <headerFooter alignWithMargins="0">
    <oddHeader>&amp;LVer 2</oddHeader>
    <oddFooter>&amp;LNQCL/ADDO/014&amp;C&amp;P of &amp;N&amp;R&amp;D &amp;T</oddFooter>
  </headerFooter>
  <rowBreaks count="1" manualBreakCount="1">
    <brk id="77" max="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SST</vt:lpstr>
      <vt:lpstr>Uniformity</vt:lpstr>
      <vt:lpstr>ARTEMETHER </vt:lpstr>
      <vt:lpstr>LUMEFANTRINE</vt:lpstr>
      <vt:lpstr>'ARTEMETHER '!Print_Area</vt:lpstr>
      <vt:lpstr>LUMEFANTRINE!Print_Area</vt:lpstr>
      <vt:lpstr>Uniformity!Print_Area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hp probook</cp:lastModifiedBy>
  <cp:lastPrinted>2015-12-08T06:25:57Z</cp:lastPrinted>
  <dcterms:created xsi:type="dcterms:W3CDTF">2005-07-05T10:19:27Z</dcterms:created>
  <dcterms:modified xsi:type="dcterms:W3CDTF">2015-12-23T10:33:13Z</dcterms:modified>
  <cp:category/>
</cp:coreProperties>
</file>