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 activeTab="4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HCl'!$A$1:$N$125</definedName>
    <definedName name="_xlnm.Print_Area" localSheetId="4">Artesunate!$A$1:$N$125</definedName>
    <definedName name="_xlnm.Print_Area" localSheetId="0">'SST (AH)'!$A$1:$F$61</definedName>
    <definedName name="_xlnm.Print_Area" localSheetId="2">Uniformity!$A$1:$F$54</definedName>
  </definedNames>
  <calcPr calcId="144525"/>
</workbook>
</file>

<file path=xl/calcChain.xml><?xml version="1.0" encoding="utf-8"?>
<calcChain xmlns="http://schemas.openxmlformats.org/spreadsheetml/2006/main">
  <c r="B85" i="3" l="1"/>
  <c r="B31" i="3"/>
  <c r="B84" i="3" s="1"/>
  <c r="B116" i="5"/>
  <c r="D100" i="5" s="1"/>
  <c r="B98" i="5"/>
  <c r="F95" i="5"/>
  <c r="D95" i="5"/>
  <c r="G94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21" i="4"/>
  <c r="B42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G40" i="5"/>
  <c r="E39" i="5"/>
  <c r="D49" i="5"/>
  <c r="E40" i="5"/>
  <c r="G38" i="5"/>
  <c r="E38" i="5"/>
  <c r="C76" i="5"/>
  <c r="D97" i="5"/>
  <c r="D98" i="5" s="1"/>
  <c r="D99" i="5" s="1"/>
  <c r="C56" i="5"/>
  <c r="B21" i="1"/>
  <c r="G91" i="5" l="1"/>
  <c r="E92" i="5"/>
  <c r="G93" i="5"/>
  <c r="G92" i="5"/>
  <c r="E91" i="5"/>
  <c r="E93" i="5"/>
  <c r="G39" i="5"/>
  <c r="D52" i="5" s="1"/>
  <c r="E42" i="5"/>
  <c r="B45" i="3"/>
  <c r="D48" i="3" s="1"/>
  <c r="B87" i="3"/>
  <c r="B34" i="3"/>
  <c r="D44" i="3" s="1"/>
  <c r="B30" i="3"/>
  <c r="B42" i="1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95" i="5" l="1"/>
  <c r="D105" i="5"/>
  <c r="B57" i="3"/>
  <c r="B69" i="3" s="1"/>
  <c r="B57" i="5"/>
  <c r="B69" i="5" s="1"/>
  <c r="E95" i="5"/>
  <c r="D103" i="5"/>
  <c r="E112" i="5" s="1"/>
  <c r="F112" i="5" s="1"/>
  <c r="D50" i="5"/>
  <c r="G42" i="5"/>
  <c r="D51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H74" i="5" l="1"/>
  <c r="H72" i="5"/>
  <c r="G76" i="5" s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H73" i="5" l="1"/>
  <c r="F116" i="5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<sst xmlns="http://schemas.openxmlformats.org/spreadsheetml/2006/main" count="434" uniqueCount="131">
  <si>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</si>
  <si>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</si>
  <si>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</si>
  <si>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</si>
  <si>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</si>
  <si>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</si>
  <si>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</si>
  <si>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</si>
  <si>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</si>
  <si>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</si>
  <si>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</si>
  <si>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</si>
  <si>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</si>
  <si>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</si>
  <si>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</si>
  <si>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</si>
  <si>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</si>
  <si>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</si>
  <si>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</si>
  <si>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</si>
  <si>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</si>
  <si>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</si>
  <si>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</si>
  <si>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</si>
  <si>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</si>
  <si>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</si>
  <si>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</si>
  <si>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</si>
  <si>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</si>
  <si>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</si>
  <si>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</si>
  <si>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</si>
  <si>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</si>
  <si>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</si>
  <si>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</si>
  <si>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</si>
  <si>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</si>
  <si>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</si>
  <si>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</si>
  <si>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</si>
  <si>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</si>
  <si>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</si>
  <si>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</si>
  <si>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</si>
  <si>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</si>
  <si>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</si>
  <si>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</si>
  <si>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</si>
  <si>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</si>
  <si>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</si>
  <si>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</si>
  <si>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</si>
  <si>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</si>
  <si>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</si>
  <si>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</si>
  <si>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</si>
  <si>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</si>
  <si>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</si>
  <si>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</si>
  <si>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</si>
  <si>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</si>
  <si>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</si>
  <si>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</si>
  <si>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</si>
  <si>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</si>
  <si>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</si>
  <si>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</si>
  <si>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</si>
  <si>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</si>
  <si>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</si>
  <si>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</si>
  <si>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</si>
  <si>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</si>
  <si>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</si>
  <si>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</si>
  <si>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</si>
  <si>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</si>
  <si>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</si>
  <si>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</si>
  <si>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</si>
  <si>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</si>
  <si>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</si>
  <si>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</si>
  <si>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</si>
  <si>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</si>
  <si>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</si>
  <si>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</si>
  <si>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</si>
  <si>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</si>
  <si>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</si>
  <si>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</si>
  <si>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</si>
  <si>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</si>
  <si>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</si>
  <si>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</si>
  <si>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</si>
  <si>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</si>
  <si>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</si>
  <si>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</si>
  <si>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</si>
  <si>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</si>
  <si>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</si>
  <si>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</si>
  <si>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</si>
  <si>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</si>
  <si>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</si>
  <si>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</si>
  <si>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</si>
  <si>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</si>
  <si>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</si>
  <si>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</si>
  <si>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</si>
  <si>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</si>
  <si>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</si>
  <si>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</si>
  <si>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</si>
  <si>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</si>
  <si>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</si>
  <si>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</si>
  <si>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</si>
  <si>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</si>
  <si>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</si>
  <si>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</si>
  <si>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NDQD201508203</t>
  </si>
  <si>
    <t>Arteunate &amp; Amodiaquine</t>
  </si>
  <si>
    <t>Artesunate</t>
  </si>
  <si>
    <t>Amodiaquine HCl</t>
  </si>
  <si>
    <t>A7 1</t>
  </si>
  <si>
    <t>A15 2</t>
  </si>
  <si>
    <t>Amodiaquine</t>
  </si>
  <si>
    <t>Each bilayered tablet contains Artesunate 25 mg &amp; Amodiaquine HCl 67.5mg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</si>
</sst>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4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5" zoomScale="80" zoomScaleNormal="100" zoomScaleSheetLayoutView="80" workbookViewId="0">
      <selection activeCell="B45" sqref="B45:E50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126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v>27.22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B20/10*1/25</f>
        <v>0.10888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39447962</v>
      </c>
      <c r="C24" s="18">
        <v>3024.9</v>
      </c>
      <c r="D24" s="19">
        <v>1.8</v>
      </c>
      <c r="E24" s="20">
        <v>2</v>
      </c>
    </row>
    <row r="25" spans="1:5" ht="16.5" customHeight="1" x14ac:dyDescent="0.3">
      <c r="A25" s="17">
        <v>2</v>
      </c>
      <c r="B25" s="18">
        <v>39486658</v>
      </c>
      <c r="C25" s="18">
        <v>3022.9</v>
      </c>
      <c r="D25" s="19">
        <v>1.8</v>
      </c>
      <c r="E25" s="19">
        <v>2</v>
      </c>
    </row>
    <row r="26" spans="1:5" ht="16.5" customHeight="1" x14ac:dyDescent="0.3">
      <c r="A26" s="17">
        <v>3</v>
      </c>
      <c r="B26" s="18">
        <v>39793965</v>
      </c>
      <c r="C26" s="18">
        <v>3039.3</v>
      </c>
      <c r="D26" s="19">
        <v>1.8</v>
      </c>
      <c r="E26" s="19">
        <v>2</v>
      </c>
    </row>
    <row r="27" spans="1:5" ht="16.5" customHeight="1" x14ac:dyDescent="0.3">
      <c r="A27" s="17">
        <v>4</v>
      </c>
      <c r="B27" s="18">
        <v>39620928</v>
      </c>
      <c r="C27" s="18">
        <v>3059</v>
      </c>
      <c r="D27" s="19">
        <v>1.9</v>
      </c>
      <c r="E27" s="19">
        <v>2</v>
      </c>
    </row>
    <row r="28" spans="1:5" ht="16.5" customHeight="1" x14ac:dyDescent="0.3">
      <c r="A28" s="17">
        <v>5</v>
      </c>
      <c r="B28" s="18">
        <v>39441904</v>
      </c>
      <c r="C28" s="18">
        <v>3053</v>
      </c>
      <c r="D28" s="19">
        <v>1.8</v>
      </c>
      <c r="E28" s="19">
        <v>2</v>
      </c>
    </row>
    <row r="29" spans="1:5" ht="16.5" customHeight="1" x14ac:dyDescent="0.3">
      <c r="A29" s="17">
        <v>6</v>
      </c>
      <c r="B29" s="21">
        <v>39667647</v>
      </c>
      <c r="C29" s="21">
        <v>3072.2</v>
      </c>
      <c r="D29" s="22">
        <v>1.8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39576510.666666664</v>
      </c>
      <c r="C30" s="25">
        <f>AVERAGE(C24:C29)</f>
        <v>3045.2166666666667</v>
      </c>
      <c r="D30" s="26">
        <f>AVERAGE(D24:D29)</f>
        <v>1.8166666666666671</v>
      </c>
      <c r="E30" s="26">
        <f>AVERAGE(E24:E29)</f>
        <v>2</v>
      </c>
    </row>
    <row r="31" spans="1:5" ht="16.5" customHeight="1" x14ac:dyDescent="0.3">
      <c r="A31" s="27" t="s">
        <v>14</v>
      </c>
      <c r="B31" s="28">
        <f>(STDEV(B24:B29)/B30)</f>
        <v>3.5784068224919419E-3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6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27.22</v>
      </c>
      <c r="C41" s="71"/>
      <c r="D41" s="71"/>
      <c r="E41" s="71"/>
    </row>
    <row r="42" spans="1:5" ht="16.5" customHeight="1" x14ac:dyDescent="0.3">
      <c r="A42" s="8" t="s">
        <v>7</v>
      </c>
      <c r="B42" s="13">
        <f>B21</f>
        <v>0.10888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39447962</v>
      </c>
      <c r="C45" s="18">
        <v>3024.9</v>
      </c>
      <c r="D45" s="19">
        <v>1.8</v>
      </c>
      <c r="E45" s="20">
        <v>2</v>
      </c>
    </row>
    <row r="46" spans="1:5" ht="16.5" customHeight="1" x14ac:dyDescent="0.3">
      <c r="A46" s="17">
        <v>2</v>
      </c>
      <c r="B46" s="18">
        <v>39486658</v>
      </c>
      <c r="C46" s="18">
        <v>3022.9</v>
      </c>
      <c r="D46" s="19">
        <v>1.8</v>
      </c>
      <c r="E46" s="19">
        <v>2</v>
      </c>
    </row>
    <row r="47" spans="1:5" ht="16.5" customHeight="1" x14ac:dyDescent="0.3">
      <c r="A47" s="17">
        <v>3</v>
      </c>
      <c r="B47" s="18">
        <v>39793965</v>
      </c>
      <c r="C47" s="18">
        <v>3039.3</v>
      </c>
      <c r="D47" s="19">
        <v>1.8</v>
      </c>
      <c r="E47" s="19">
        <v>2</v>
      </c>
    </row>
    <row r="48" spans="1:5" ht="16.5" customHeight="1" x14ac:dyDescent="0.3">
      <c r="A48" s="17">
        <v>4</v>
      </c>
      <c r="B48" s="18">
        <v>39620928</v>
      </c>
      <c r="C48" s="18">
        <v>3059</v>
      </c>
      <c r="D48" s="19">
        <v>1.9</v>
      </c>
      <c r="E48" s="19">
        <v>2</v>
      </c>
    </row>
    <row r="49" spans="1:7" ht="16.5" customHeight="1" x14ac:dyDescent="0.3">
      <c r="A49" s="17">
        <v>5</v>
      </c>
      <c r="B49" s="18">
        <v>39441904</v>
      </c>
      <c r="C49" s="18">
        <v>3053</v>
      </c>
      <c r="D49" s="19">
        <v>1.8</v>
      </c>
      <c r="E49" s="19">
        <v>2</v>
      </c>
    </row>
    <row r="50" spans="1:7" ht="16.5" customHeight="1" x14ac:dyDescent="0.3">
      <c r="A50" s="17">
        <v>6</v>
      </c>
      <c r="B50" s="21">
        <v>39667647</v>
      </c>
      <c r="C50" s="21">
        <v>3072.2</v>
      </c>
      <c r="D50" s="22">
        <v>1.8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39576510.666666664</v>
      </c>
      <c r="C51" s="25">
        <f>AVERAGE(C45:C50)</f>
        <v>3045.2166666666667</v>
      </c>
      <c r="D51" s="26">
        <f>AVERAGE(D45:D50)</f>
        <v>1.8166666666666671</v>
      </c>
      <c r="E51" s="26">
        <f>AVERAGE(E45:E50)</f>
        <v>2</v>
      </c>
    </row>
    <row r="52" spans="1:7" ht="16.5" customHeight="1" x14ac:dyDescent="0.3">
      <c r="A52" s="27" t="s">
        <v>14</v>
      </c>
      <c r="B52" s="28">
        <f>(STDEV(B45:B50)/B51)</f>
        <v>3.5784068224919419E-3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6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299" t="s">
        <v>21</v>
      </c>
      <c r="C59" s="299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1" zoomScale="90" zoomScaleNormal="100" zoomScaleSheetLayoutView="90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125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v>27.22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B20/10*1/25</f>
        <v>0.10888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3314790</v>
      </c>
      <c r="C24" s="18">
        <v>8191.5</v>
      </c>
      <c r="D24" s="19">
        <v>1</v>
      </c>
      <c r="E24" s="20">
        <v>8.1999999999999993</v>
      </c>
    </row>
    <row r="25" spans="1:6" ht="16.5" customHeight="1" x14ac:dyDescent="0.3">
      <c r="A25" s="17">
        <v>2</v>
      </c>
      <c r="B25" s="18">
        <v>3325714</v>
      </c>
      <c r="C25" s="18">
        <v>8185.5</v>
      </c>
      <c r="D25" s="19">
        <v>1</v>
      </c>
      <c r="E25" s="19">
        <v>8.1999999999999993</v>
      </c>
    </row>
    <row r="26" spans="1:6" ht="16.5" customHeight="1" x14ac:dyDescent="0.3">
      <c r="A26" s="17">
        <v>3</v>
      </c>
      <c r="B26" s="18">
        <v>3307872</v>
      </c>
      <c r="C26" s="18">
        <v>8239.7000000000007</v>
      </c>
      <c r="D26" s="19">
        <v>1</v>
      </c>
      <c r="E26" s="19">
        <v>8.1999999999999993</v>
      </c>
    </row>
    <row r="27" spans="1:6" ht="16.5" customHeight="1" x14ac:dyDescent="0.3">
      <c r="A27" s="17">
        <v>4</v>
      </c>
      <c r="B27" s="18">
        <v>3302099</v>
      </c>
      <c r="C27" s="18">
        <v>8230.9</v>
      </c>
      <c r="D27" s="19">
        <v>1</v>
      </c>
      <c r="E27" s="19">
        <v>8.1999999999999993</v>
      </c>
    </row>
    <row r="28" spans="1:6" ht="16.5" customHeight="1" x14ac:dyDescent="0.3">
      <c r="A28" s="17">
        <v>5</v>
      </c>
      <c r="B28" s="18">
        <v>3307267</v>
      </c>
      <c r="C28" s="18">
        <v>8224.6</v>
      </c>
      <c r="D28" s="19">
        <v>1</v>
      </c>
      <c r="E28" s="19">
        <v>8.1999999999999993</v>
      </c>
    </row>
    <row r="29" spans="1:6" ht="16.5" customHeight="1" x14ac:dyDescent="0.3">
      <c r="A29" s="17">
        <v>6</v>
      </c>
      <c r="B29" s="21">
        <v>3316852</v>
      </c>
      <c r="C29" s="21">
        <v>8204.1</v>
      </c>
      <c r="D29" s="22">
        <v>1</v>
      </c>
      <c r="E29" s="22">
        <v>8.1999999999999993</v>
      </c>
    </row>
    <row r="30" spans="1:6" ht="16.5" customHeight="1" x14ac:dyDescent="0.3">
      <c r="A30" s="23" t="s">
        <v>13</v>
      </c>
      <c r="B30" s="24">
        <f>AVERAGE(B24:B29)</f>
        <v>3312432.3333333335</v>
      </c>
      <c r="C30" s="25">
        <f>AVERAGE(C24:C29)</f>
        <v>8212.7166666666653</v>
      </c>
      <c r="D30" s="26">
        <f>AVERAGE(D24:D29)</f>
        <v>1</v>
      </c>
      <c r="E30" s="26">
        <f>AVERAGE(E24:E29)</f>
        <v>8.2000000000000011</v>
      </c>
    </row>
    <row r="31" spans="1:6" ht="16.5" customHeight="1" x14ac:dyDescent="0.3">
      <c r="A31" s="27" t="s">
        <v>14</v>
      </c>
      <c r="B31" s="28">
        <f>(STDEV(B24:B29)/B30)</f>
        <v>2.5464802704878243E-3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27.22</v>
      </c>
      <c r="C41" s="10"/>
      <c r="D41" s="10"/>
      <c r="E41" s="10"/>
    </row>
    <row r="42" spans="1:6" ht="16.5" customHeight="1" x14ac:dyDescent="0.3">
      <c r="A42" s="7" t="s">
        <v>7</v>
      </c>
      <c r="B42" s="13">
        <f>B21</f>
        <v>0.10888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3314790</v>
      </c>
      <c r="C45" s="18">
        <v>8191.5</v>
      </c>
      <c r="D45" s="19">
        <v>1</v>
      </c>
      <c r="E45" s="20">
        <v>8.1999999999999993</v>
      </c>
    </row>
    <row r="46" spans="1:6" ht="16.5" customHeight="1" x14ac:dyDescent="0.3">
      <c r="A46" s="17">
        <v>2</v>
      </c>
      <c r="B46" s="18">
        <v>3325714</v>
      </c>
      <c r="C46" s="18">
        <v>8185.5</v>
      </c>
      <c r="D46" s="19">
        <v>1</v>
      </c>
      <c r="E46" s="19">
        <v>8.1999999999999993</v>
      </c>
    </row>
    <row r="47" spans="1:6" ht="16.5" customHeight="1" x14ac:dyDescent="0.3">
      <c r="A47" s="17">
        <v>3</v>
      </c>
      <c r="B47" s="18">
        <v>3307872</v>
      </c>
      <c r="C47" s="18">
        <v>8239.7000000000007</v>
      </c>
      <c r="D47" s="19">
        <v>1</v>
      </c>
      <c r="E47" s="19">
        <v>8.1999999999999993</v>
      </c>
    </row>
    <row r="48" spans="1:6" ht="16.5" customHeight="1" x14ac:dyDescent="0.3">
      <c r="A48" s="17">
        <v>4</v>
      </c>
      <c r="B48" s="18">
        <v>3302099</v>
      </c>
      <c r="C48" s="18">
        <v>8230.9</v>
      </c>
      <c r="D48" s="19">
        <v>1</v>
      </c>
      <c r="E48" s="19">
        <v>8.1999999999999993</v>
      </c>
    </row>
    <row r="49" spans="1:7" ht="16.5" customHeight="1" x14ac:dyDescent="0.3">
      <c r="A49" s="17">
        <v>5</v>
      </c>
      <c r="B49" s="18">
        <v>3307267</v>
      </c>
      <c r="C49" s="18">
        <v>8224.6</v>
      </c>
      <c r="D49" s="19">
        <v>1</v>
      </c>
      <c r="E49" s="19">
        <v>8.1999999999999993</v>
      </c>
    </row>
    <row r="50" spans="1:7" ht="16.5" customHeight="1" x14ac:dyDescent="0.3">
      <c r="A50" s="17">
        <v>6</v>
      </c>
      <c r="B50" s="21">
        <v>3316852</v>
      </c>
      <c r="C50" s="21">
        <v>8204.1</v>
      </c>
      <c r="D50" s="22">
        <v>1</v>
      </c>
      <c r="E50" s="22">
        <v>8.1999999999999993</v>
      </c>
    </row>
    <row r="51" spans="1:7" ht="16.5" customHeight="1" x14ac:dyDescent="0.3">
      <c r="A51" s="23" t="s">
        <v>13</v>
      </c>
      <c r="B51" s="24">
        <f>AVERAGE(B45:B50)</f>
        <v>3312432.3333333335</v>
      </c>
      <c r="C51" s="25">
        <f>AVERAGE(C45:C50)</f>
        <v>8212.7166666666653</v>
      </c>
      <c r="D51" s="26">
        <f>AVERAGE(D45:D50)</f>
        <v>1</v>
      </c>
      <c r="E51" s="26">
        <f>AVERAGE(E45:E50)</f>
        <v>8.2000000000000011</v>
      </c>
    </row>
    <row r="52" spans="1:7" ht="16.5" customHeight="1" x14ac:dyDescent="0.3">
      <c r="A52" s="27" t="s">
        <v>14</v>
      </c>
      <c r="B52" s="28">
        <f>(STDEV(B45:B50)/B51)</f>
        <v>2.5464802704878243E-3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9" t="s">
        <v>21</v>
      </c>
      <c r="C59" s="299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7" workbookViewId="0">
      <selection activeCell="C18" sqref="C1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3" t="s">
        <v>26</v>
      </c>
      <c r="B11" s="304"/>
      <c r="C11" s="304"/>
      <c r="D11" s="304"/>
      <c r="E11" s="304"/>
      <c r="F11" s="305"/>
      <c r="G11" s="90"/>
    </row>
    <row r="12" spans="1:7" ht="16.5" customHeight="1" x14ac:dyDescent="0.3">
      <c r="A12" s="302" t="s">
        <v>27</v>
      </c>
      <c r="B12" s="302"/>
      <c r="C12" s="302"/>
      <c r="D12" s="302"/>
      <c r="E12" s="302"/>
      <c r="F12" s="302"/>
      <c r="G12" s="89"/>
    </row>
    <row r="14" spans="1:7" ht="16.5" customHeight="1" x14ac:dyDescent="0.3">
      <c r="A14" s="307" t="s">
        <v>28</v>
      </c>
      <c r="B14" s="307"/>
      <c r="C14" s="60" t="s">
        <v>122</v>
      </c>
    </row>
    <row r="15" spans="1:7" ht="16.5" customHeight="1" x14ac:dyDescent="0.3">
      <c r="A15" s="307" t="s">
        <v>29</v>
      </c>
      <c r="B15" s="307"/>
      <c r="C15" s="60" t="s">
        <v>123</v>
      </c>
    </row>
    <row r="16" spans="1:7" ht="16.5" customHeight="1" x14ac:dyDescent="0.3">
      <c r="A16" s="307" t="s">
        <v>30</v>
      </c>
      <c r="B16" s="307"/>
      <c r="C16" s="60" t="s">
        <v>124</v>
      </c>
    </row>
    <row r="17" spans="1:5" ht="16.5" customHeight="1" x14ac:dyDescent="0.3">
      <c r="A17" s="307" t="s">
        <v>31</v>
      </c>
      <c r="B17" s="307"/>
      <c r="C17" s="60" t="s">
        <v>130</v>
      </c>
    </row>
    <row r="18" spans="1:5" ht="16.5" customHeight="1" x14ac:dyDescent="0.3">
      <c r="A18" s="307" t="s">
        <v>32</v>
      </c>
      <c r="B18" s="307"/>
      <c r="C18" s="96">
        <v>42312</v>
      </c>
    </row>
    <row r="19" spans="1:5" ht="16.5" customHeight="1" x14ac:dyDescent="0.3">
      <c r="A19" s="307" t="s">
        <v>33</v>
      </c>
      <c r="B19" s="307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02" t="s">
        <v>1</v>
      </c>
      <c r="B21" s="302"/>
      <c r="C21" s="59" t="s">
        <v>34</v>
      </c>
      <c r="D21" s="66"/>
    </row>
    <row r="22" spans="1:5" ht="15.75" customHeight="1" x14ac:dyDescent="0.3">
      <c r="A22" s="306"/>
      <c r="B22" s="306"/>
      <c r="C22" s="57"/>
      <c r="D22" s="306"/>
      <c r="E22" s="306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180.57</v>
      </c>
      <c r="D24" s="86">
        <f t="shared" ref="D24:D43" si="0">(C24-$C$46)/$C$46</f>
        <v>1.7318700139721529E-2</v>
      </c>
      <c r="E24" s="53"/>
    </row>
    <row r="25" spans="1:5" ht="15.75" customHeight="1" x14ac:dyDescent="0.3">
      <c r="C25" s="94">
        <v>179.63</v>
      </c>
      <c r="D25" s="87">
        <f t="shared" si="0"/>
        <v>1.2022806147744258E-2</v>
      </c>
      <c r="E25" s="53"/>
    </row>
    <row r="26" spans="1:5" ht="15.75" customHeight="1" x14ac:dyDescent="0.3">
      <c r="C26" s="94">
        <v>181.14</v>
      </c>
      <c r="D26" s="87">
        <f t="shared" si="0"/>
        <v>2.0530040113580058E-2</v>
      </c>
      <c r="E26" s="53"/>
    </row>
    <row r="27" spans="1:5" ht="15.75" customHeight="1" x14ac:dyDescent="0.3">
      <c r="C27" s="94">
        <v>175.72</v>
      </c>
      <c r="D27" s="87">
        <f t="shared" si="0"/>
        <v>-1.0005859286969747E-2</v>
      </c>
      <c r="E27" s="53"/>
    </row>
    <row r="28" spans="1:5" ht="15.75" customHeight="1" x14ac:dyDescent="0.3">
      <c r="C28" s="94">
        <v>176.94</v>
      </c>
      <c r="D28" s="87">
        <f t="shared" si="0"/>
        <v>-3.132464956956682E-3</v>
      </c>
      <c r="E28" s="53"/>
    </row>
    <row r="29" spans="1:5" ht="15.75" customHeight="1" x14ac:dyDescent="0.3">
      <c r="C29" s="94">
        <v>177.88</v>
      </c>
      <c r="D29" s="87">
        <f t="shared" si="0"/>
        <v>2.1634290350205899E-3</v>
      </c>
      <c r="E29" s="53"/>
    </row>
    <row r="30" spans="1:5" ht="15.75" customHeight="1" x14ac:dyDescent="0.3">
      <c r="C30" s="94">
        <v>178.37</v>
      </c>
      <c r="D30" s="87">
        <f t="shared" si="0"/>
        <v>4.9240546265832677E-3</v>
      </c>
      <c r="E30" s="53"/>
    </row>
    <row r="31" spans="1:5" ht="15.75" customHeight="1" x14ac:dyDescent="0.3">
      <c r="C31" s="94">
        <v>178.53</v>
      </c>
      <c r="D31" s="87">
        <f t="shared" si="0"/>
        <v>5.8254833911751272E-3</v>
      </c>
      <c r="E31" s="53"/>
    </row>
    <row r="32" spans="1:5" ht="15.75" customHeight="1" x14ac:dyDescent="0.3">
      <c r="C32" s="94">
        <v>178.05</v>
      </c>
      <c r="D32" s="87">
        <f t="shared" si="0"/>
        <v>3.1211970973995498E-3</v>
      </c>
      <c r="E32" s="53"/>
    </row>
    <row r="33" spans="1:7" ht="15.75" customHeight="1" x14ac:dyDescent="0.3">
      <c r="C33" s="94">
        <v>174.75</v>
      </c>
      <c r="D33" s="87">
        <f t="shared" si="0"/>
        <v>-1.5470771172308002E-2</v>
      </c>
      <c r="E33" s="53"/>
    </row>
    <row r="34" spans="1:7" ht="15.75" customHeight="1" x14ac:dyDescent="0.3">
      <c r="C34" s="94">
        <v>176.52</v>
      </c>
      <c r="D34" s="87">
        <f t="shared" si="0"/>
        <v>-5.4987154640102915E-3</v>
      </c>
      <c r="E34" s="53"/>
    </row>
    <row r="35" spans="1:7" ht="15.75" customHeight="1" x14ac:dyDescent="0.3">
      <c r="C35" s="94">
        <v>180.39</v>
      </c>
      <c r="D35" s="87">
        <f t="shared" si="0"/>
        <v>1.6304592779555628E-2</v>
      </c>
      <c r="E35" s="53"/>
    </row>
    <row r="36" spans="1:7" ht="15.75" customHeight="1" x14ac:dyDescent="0.3">
      <c r="C36" s="94">
        <v>176.44</v>
      </c>
      <c r="D36" s="87">
        <f t="shared" si="0"/>
        <v>-5.9494298463063011E-3</v>
      </c>
      <c r="E36" s="53"/>
    </row>
    <row r="37" spans="1:7" ht="15.75" customHeight="1" x14ac:dyDescent="0.3">
      <c r="C37" s="94">
        <v>179.7</v>
      </c>
      <c r="D37" s="87">
        <f t="shared" si="0"/>
        <v>1.2417181232253166E-2</v>
      </c>
      <c r="E37" s="53"/>
    </row>
    <row r="38" spans="1:7" ht="15.75" customHeight="1" x14ac:dyDescent="0.3">
      <c r="C38" s="94">
        <v>177.25</v>
      </c>
      <c r="D38" s="87">
        <f t="shared" si="0"/>
        <v>-1.3859467255599052E-3</v>
      </c>
      <c r="E38" s="53"/>
    </row>
    <row r="39" spans="1:7" ht="15.75" customHeight="1" x14ac:dyDescent="0.3">
      <c r="C39" s="94">
        <v>176.4</v>
      </c>
      <c r="D39" s="87">
        <f t="shared" si="0"/>
        <v>-6.1747870374542265E-3</v>
      </c>
      <c r="E39" s="53"/>
    </row>
    <row r="40" spans="1:7" ht="15.75" customHeight="1" x14ac:dyDescent="0.3">
      <c r="C40" s="94">
        <v>173.17</v>
      </c>
      <c r="D40" s="87">
        <f t="shared" si="0"/>
        <v>-2.4372380222652871E-2</v>
      </c>
      <c r="E40" s="53"/>
    </row>
    <row r="41" spans="1:7" ht="15.75" customHeight="1" x14ac:dyDescent="0.3">
      <c r="C41" s="94">
        <v>178.08</v>
      </c>
      <c r="D41" s="87">
        <f t="shared" si="0"/>
        <v>3.2902149907605336E-3</v>
      </c>
      <c r="E41" s="53"/>
    </row>
    <row r="42" spans="1:7" ht="15.75" customHeight="1" x14ac:dyDescent="0.3">
      <c r="C42" s="94">
        <v>176.6</v>
      </c>
      <c r="D42" s="87">
        <f t="shared" si="0"/>
        <v>-5.0480010817144424E-3</v>
      </c>
      <c r="E42" s="53"/>
    </row>
    <row r="43" spans="1:7" ht="16.5" customHeight="1" x14ac:dyDescent="0.3">
      <c r="C43" s="95">
        <v>173.79</v>
      </c>
      <c r="D43" s="88">
        <f t="shared" si="0"/>
        <v>-2.0879343759859316E-2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3549.9199999999996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177.49599999999998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00">
        <f>C46</f>
        <v>177.49599999999998</v>
      </c>
      <c r="C49" s="92">
        <f>-IF(C46&lt;=80,10%,IF(C46&lt;250,7.5%,5%))</f>
        <v>-7.4999999999999997E-2</v>
      </c>
      <c r="D49" s="80">
        <f>IF(C46&lt;=80,C46*0.9,IF(C46&lt;250,C46*0.925,C46*0.95))</f>
        <v>164.18379999999999</v>
      </c>
    </row>
    <row r="50" spans="1:6" ht="17.25" customHeight="1" x14ac:dyDescent="0.3">
      <c r="B50" s="301"/>
      <c r="C50" s="93">
        <f>IF(C46&lt;=80, 10%, IF(C46&lt;250, 7.5%, 5%))</f>
        <v>7.4999999999999997E-2</v>
      </c>
      <c r="D50" s="80">
        <f>IF(C46&lt;=80, C46*1.1, IF(C46&lt;250, C46*1.075, C46*1.05))</f>
        <v>190.80819999999997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42298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9" zoomScale="60" zoomScaleNormal="40" zoomScalePageLayoutView="50" workbookViewId="0">
      <selection activeCell="D60" sqref="D60:D6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35" t="s">
        <v>40</v>
      </c>
      <c r="B1" s="335"/>
      <c r="C1" s="335"/>
      <c r="D1" s="335"/>
      <c r="E1" s="335"/>
      <c r="F1" s="335"/>
      <c r="G1" s="335"/>
      <c r="H1" s="335"/>
      <c r="I1" s="335"/>
    </row>
    <row r="2" spans="1:9" ht="18.75" customHeight="1" x14ac:dyDescent="0.25">
      <c r="A2" s="335"/>
      <c r="B2" s="335"/>
      <c r="C2" s="335"/>
      <c r="D2" s="335"/>
      <c r="E2" s="335"/>
      <c r="F2" s="335"/>
      <c r="G2" s="335"/>
      <c r="H2" s="335"/>
      <c r="I2" s="335"/>
    </row>
    <row r="3" spans="1:9" ht="18.75" customHeight="1" x14ac:dyDescent="0.25">
      <c r="A3" s="335"/>
      <c r="B3" s="335"/>
      <c r="C3" s="335"/>
      <c r="D3" s="335"/>
      <c r="E3" s="335"/>
      <c r="F3" s="335"/>
      <c r="G3" s="335"/>
      <c r="H3" s="335"/>
      <c r="I3" s="335"/>
    </row>
    <row r="4" spans="1:9" ht="18.75" customHeight="1" x14ac:dyDescent="0.25">
      <c r="A4" s="335"/>
      <c r="B4" s="335"/>
      <c r="C4" s="335"/>
      <c r="D4" s="335"/>
      <c r="E4" s="335"/>
      <c r="F4" s="335"/>
      <c r="G4" s="335"/>
      <c r="H4" s="335"/>
      <c r="I4" s="335"/>
    </row>
    <row r="5" spans="1:9" ht="18.75" customHeight="1" x14ac:dyDescent="0.25">
      <c r="A5" s="335"/>
      <c r="B5" s="335"/>
      <c r="C5" s="335"/>
      <c r="D5" s="335"/>
      <c r="E5" s="335"/>
      <c r="F5" s="335"/>
      <c r="G5" s="335"/>
      <c r="H5" s="335"/>
      <c r="I5" s="335"/>
    </row>
    <row r="6" spans="1:9" ht="18.75" customHeight="1" x14ac:dyDescent="0.25">
      <c r="A6" s="335"/>
      <c r="B6" s="335"/>
      <c r="C6" s="335"/>
      <c r="D6" s="335"/>
      <c r="E6" s="335"/>
      <c r="F6" s="335"/>
      <c r="G6" s="335"/>
      <c r="H6" s="335"/>
      <c r="I6" s="335"/>
    </row>
    <row r="7" spans="1:9" ht="18.75" customHeight="1" x14ac:dyDescent="0.25">
      <c r="A7" s="335"/>
      <c r="B7" s="335"/>
      <c r="C7" s="335"/>
      <c r="D7" s="335"/>
      <c r="E7" s="335"/>
      <c r="F7" s="335"/>
      <c r="G7" s="335"/>
      <c r="H7" s="335"/>
      <c r="I7" s="335"/>
    </row>
    <row r="8" spans="1:9" x14ac:dyDescent="0.25">
      <c r="A8" s="336" t="s">
        <v>41</v>
      </c>
      <c r="B8" s="336"/>
      <c r="C8" s="336"/>
      <c r="D8" s="336"/>
      <c r="E8" s="336"/>
      <c r="F8" s="336"/>
      <c r="G8" s="336"/>
      <c r="H8" s="336"/>
      <c r="I8" s="336"/>
    </row>
    <row r="9" spans="1:9" x14ac:dyDescent="0.25">
      <c r="A9" s="336"/>
      <c r="B9" s="336"/>
      <c r="C9" s="336"/>
      <c r="D9" s="336"/>
      <c r="E9" s="336"/>
      <c r="F9" s="336"/>
      <c r="G9" s="336"/>
      <c r="H9" s="336"/>
      <c r="I9" s="336"/>
    </row>
    <row r="10" spans="1:9" x14ac:dyDescent="0.25">
      <c r="A10" s="336"/>
      <c r="B10" s="336"/>
      <c r="C10" s="336"/>
      <c r="D10" s="336"/>
      <c r="E10" s="336"/>
      <c r="F10" s="336"/>
      <c r="G10" s="336"/>
      <c r="H10" s="336"/>
      <c r="I10" s="336"/>
    </row>
    <row r="11" spans="1:9" x14ac:dyDescent="0.25">
      <c r="A11" s="336"/>
      <c r="B11" s="336"/>
      <c r="C11" s="336"/>
      <c r="D11" s="336"/>
      <c r="E11" s="336"/>
      <c r="F11" s="336"/>
      <c r="G11" s="336"/>
      <c r="H11" s="336"/>
      <c r="I11" s="336"/>
    </row>
    <row r="12" spans="1:9" x14ac:dyDescent="0.25">
      <c r="A12" s="336"/>
      <c r="B12" s="336"/>
      <c r="C12" s="336"/>
      <c r="D12" s="336"/>
      <c r="E12" s="336"/>
      <c r="F12" s="336"/>
      <c r="G12" s="336"/>
      <c r="H12" s="336"/>
      <c r="I12" s="336"/>
    </row>
    <row r="13" spans="1:9" x14ac:dyDescent="0.25">
      <c r="A13" s="336"/>
      <c r="B13" s="336"/>
      <c r="C13" s="336"/>
      <c r="D13" s="336"/>
      <c r="E13" s="336"/>
      <c r="F13" s="336"/>
      <c r="G13" s="336"/>
      <c r="H13" s="336"/>
      <c r="I13" s="336"/>
    </row>
    <row r="14" spans="1:9" x14ac:dyDescent="0.25">
      <c r="A14" s="336"/>
      <c r="B14" s="336"/>
      <c r="C14" s="336"/>
      <c r="D14" s="336"/>
      <c r="E14" s="336"/>
      <c r="F14" s="336"/>
      <c r="G14" s="336"/>
      <c r="H14" s="336"/>
      <c r="I14" s="336"/>
    </row>
    <row r="15" spans="1:9" ht="19.5" customHeight="1" x14ac:dyDescent="0.3">
      <c r="A15" s="97"/>
    </row>
    <row r="16" spans="1:9" ht="19.5" customHeight="1" x14ac:dyDescent="0.3">
      <c r="A16" s="309" t="s">
        <v>26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42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99" t="s">
        <v>28</v>
      </c>
      <c r="B18" s="308" t="s">
        <v>121</v>
      </c>
      <c r="C18" s="308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NDQD201508203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13" t="s">
        <v>129</v>
      </c>
      <c r="C20" s="313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13" t="str">
        <f>Uniformity!C17</f>
        <v>Each bilayered tablet contains Artesunate 25 mg &amp; Amodiaquine HCl 67.5mg</v>
      </c>
      <c r="C21" s="313"/>
      <c r="D21" s="313"/>
      <c r="E21" s="313"/>
      <c r="F21" s="313"/>
      <c r="G21" s="313"/>
      <c r="H21" s="313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08" t="s">
        <v>126</v>
      </c>
      <c r="C26" s="308"/>
    </row>
    <row r="27" spans="1:14" ht="26.25" customHeight="1" x14ac:dyDescent="0.4">
      <c r="A27" s="108" t="s">
        <v>43</v>
      </c>
      <c r="B27" s="314" t="s">
        <v>127</v>
      </c>
      <c r="C27" s="314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15" t="s">
        <v>45</v>
      </c>
      <c r="D29" s="316"/>
      <c r="E29" s="316"/>
      <c r="F29" s="316"/>
      <c r="G29" s="317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18" t="s">
        <v>48</v>
      </c>
      <c r="D31" s="319"/>
      <c r="E31" s="319"/>
      <c r="F31" s="319"/>
      <c r="G31" s="319"/>
      <c r="H31" s="320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18" t="s">
        <v>50</v>
      </c>
      <c r="D32" s="319"/>
      <c r="E32" s="319"/>
      <c r="F32" s="319"/>
      <c r="G32" s="319"/>
      <c r="H32" s="320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21" t="s">
        <v>54</v>
      </c>
      <c r="E36" s="322"/>
      <c r="F36" s="321" t="s">
        <v>55</v>
      </c>
      <c r="G36" s="323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38974763</v>
      </c>
      <c r="E38" s="132">
        <f>IF(ISBLANK(D38),"-",$D$48/$D$45*D38)</f>
        <v>36101439.417377517</v>
      </c>
      <c r="F38" s="131">
        <v>32978005</v>
      </c>
      <c r="G38" s="133">
        <f>IF(ISBLANK(F38),"-",$D$48/$F$45*F38)</f>
        <v>35906249.299259871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38942886</v>
      </c>
      <c r="E39" s="137">
        <f>IF(ISBLANK(D39),"-",$D$48/$D$45*D39)</f>
        <v>36071912.474922277</v>
      </c>
      <c r="F39" s="136">
        <v>33132868</v>
      </c>
      <c r="G39" s="138">
        <f>IF(ISBLANK(F39),"-",$D$48/$F$45*F39)</f>
        <v>36074863.182520285</v>
      </c>
      <c r="I39" s="324">
        <f>ABS((F43/D43*D42)-F42)/D42</f>
        <v>5.0414403033867562E-3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39534388</v>
      </c>
      <c r="E40" s="137">
        <f>IF(ISBLANK(D40),"-",$D$48/$D$45*D40)</f>
        <v>36619807.368298732</v>
      </c>
      <c r="F40" s="136">
        <v>33217805</v>
      </c>
      <c r="G40" s="138">
        <f>IF(ISBLANK(F40),"-",$D$48/$F$45*F40)</f>
        <v>36167342.066453114</v>
      </c>
      <c r="I40" s="324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39150679</v>
      </c>
      <c r="E42" s="147">
        <f>AVERAGE(E38:E41)</f>
        <v>36264386.420199513</v>
      </c>
      <c r="F42" s="146">
        <f>AVERAGE(F38:F41)</f>
        <v>33109559.333333332</v>
      </c>
      <c r="G42" s="148">
        <f>AVERAGE(G38:G41)</f>
        <v>36049484.849411093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16.28</v>
      </c>
      <c r="E43" s="139"/>
      <c r="F43" s="151">
        <v>13.85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13.508386856036756</v>
      </c>
      <c r="E44" s="154"/>
      <c r="F44" s="153">
        <f>F43*$B$34</f>
        <v>11.492085869539869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13.494878469180719</v>
      </c>
      <c r="E45" s="157"/>
      <c r="F45" s="156">
        <f>F44*$B$30/100</f>
        <v>11.480593783670329</v>
      </c>
      <c r="H45" s="149"/>
    </row>
    <row r="46" spans="1:14" ht="19.5" customHeight="1" x14ac:dyDescent="0.3">
      <c r="A46" s="325" t="s">
        <v>73</v>
      </c>
      <c r="B46" s="326"/>
      <c r="C46" s="152" t="s">
        <v>74</v>
      </c>
      <c r="D46" s="158">
        <f>D45/$B$45</f>
        <v>0.2159180555068915</v>
      </c>
      <c r="E46" s="159"/>
      <c r="F46" s="160">
        <f>F45/$B$45</f>
        <v>0.18368950053872526</v>
      </c>
      <c r="H46" s="149"/>
    </row>
    <row r="47" spans="1:14" ht="27" customHeight="1" x14ac:dyDescent="0.4">
      <c r="A47" s="327"/>
      <c r="B47" s="328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36156935.634805299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6.7093319236922657E-3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67.5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177.49599999999998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50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4</v>
      </c>
      <c r="C60" s="329" t="s">
        <v>89</v>
      </c>
      <c r="D60" s="332">
        <v>178.54</v>
      </c>
      <c r="E60" s="181">
        <v>1</v>
      </c>
      <c r="F60" s="182">
        <v>41844030</v>
      </c>
      <c r="G60" s="271">
        <f>IF(ISBLANK(F60),"-",(F60/$D$50*$D$47*$B$68)*($B$57/$D$60))</f>
        <v>71.907625170956877</v>
      </c>
      <c r="H60" s="183">
        <f>IF(ISBLANK(F60),"-",G60/$B$56)</f>
        <v>1.0652981506808425</v>
      </c>
      <c r="L60" s="111"/>
    </row>
    <row r="61" spans="1:12" s="14" customFormat="1" ht="26.25" customHeight="1" x14ac:dyDescent="0.4">
      <c r="A61" s="123" t="s">
        <v>90</v>
      </c>
      <c r="B61" s="124">
        <v>25</v>
      </c>
      <c r="C61" s="330"/>
      <c r="D61" s="333"/>
      <c r="E61" s="184">
        <v>2</v>
      </c>
      <c r="F61" s="136">
        <v>41128402</v>
      </c>
      <c r="G61" s="272">
        <f>IF(ISBLANK(F61),"-",(F61/$D$50*$D$47*$B$68)*($B$57/$D$60))</f>
        <v>70.677841376569901</v>
      </c>
      <c r="H61" s="185">
        <f t="shared" ref="H61:H71" si="0">IF(ISBLANK(F61),"-",G61/$B$56)</f>
        <v>1.0470791315047392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30"/>
      <c r="D62" s="333"/>
      <c r="E62" s="184">
        <v>3</v>
      </c>
      <c r="F62" s="186">
        <v>42284749</v>
      </c>
      <c r="G62" s="272">
        <f>IF(ISBLANK(F62),"-",(F62/$D$50*$D$47*$B$68)*($B$57/$D$60))</f>
        <v>72.664986654965915</v>
      </c>
      <c r="H62" s="185">
        <f t="shared" si="0"/>
        <v>1.0765183208143099</v>
      </c>
      <c r="L62" s="111"/>
    </row>
    <row r="63" spans="1:12" ht="27" customHeight="1" x14ac:dyDescent="0.4">
      <c r="A63" s="123" t="s">
        <v>92</v>
      </c>
      <c r="B63" s="124">
        <v>1</v>
      </c>
      <c r="C63" s="331"/>
      <c r="D63" s="334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9" t="s">
        <v>94</v>
      </c>
      <c r="D64" s="332">
        <v>177.98</v>
      </c>
      <c r="E64" s="181">
        <v>1</v>
      </c>
      <c r="F64" s="182">
        <v>42156266</v>
      </c>
      <c r="G64" s="273">
        <f>IF(ISBLANK(F64),"-",(F64/$D$50*$D$47*$B$68)*($B$57/$D$64))</f>
        <v>72.672132660594613</v>
      </c>
      <c r="H64" s="189">
        <f>IF(ISBLANK(F64),"-",G64/$B$56)</f>
        <v>1.0766241875643647</v>
      </c>
    </row>
    <row r="65" spans="1:8" ht="26.25" customHeight="1" x14ac:dyDescent="0.4">
      <c r="A65" s="123" t="s">
        <v>95</v>
      </c>
      <c r="B65" s="124">
        <v>1</v>
      </c>
      <c r="C65" s="330"/>
      <c r="D65" s="333"/>
      <c r="E65" s="184">
        <v>2</v>
      </c>
      <c r="F65" s="136">
        <v>41626964</v>
      </c>
      <c r="G65" s="274">
        <f>IF(ISBLANK(F65),"-",(F65/$D$50*$D$47*$B$68)*($B$57/$D$64))</f>
        <v>71.759682180243317</v>
      </c>
      <c r="H65" s="190">
        <f t="shared" si="0"/>
        <v>1.0631064026702715</v>
      </c>
    </row>
    <row r="66" spans="1:8" ht="26.25" customHeight="1" x14ac:dyDescent="0.4">
      <c r="A66" s="123" t="s">
        <v>96</v>
      </c>
      <c r="B66" s="124">
        <v>1</v>
      </c>
      <c r="C66" s="330"/>
      <c r="D66" s="333"/>
      <c r="E66" s="184">
        <v>3</v>
      </c>
      <c r="F66" s="136">
        <v>41673174</v>
      </c>
      <c r="G66" s="274">
        <f>IF(ISBLANK(F66),"-",(F66/$D$50*$D$47*$B$68)*($B$57/$D$64))</f>
        <v>71.839342443565641</v>
      </c>
      <c r="H66" s="190">
        <f t="shared" si="0"/>
        <v>1.0642865547194911</v>
      </c>
    </row>
    <row r="67" spans="1:8" ht="27" customHeight="1" x14ac:dyDescent="0.4">
      <c r="A67" s="123" t="s">
        <v>97</v>
      </c>
      <c r="B67" s="124">
        <v>1</v>
      </c>
      <c r="C67" s="331"/>
      <c r="D67" s="334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312.5</v>
      </c>
      <c r="C68" s="329" t="s">
        <v>99</v>
      </c>
      <c r="D68" s="332">
        <v>178.6</v>
      </c>
      <c r="E68" s="181">
        <v>1</v>
      </c>
      <c r="F68" s="182">
        <v>41305427</v>
      </c>
      <c r="G68" s="273">
        <f>IF(ISBLANK(F68),"-",(F68/$D$50*$D$47*$B$68)*($B$57/$D$68))</f>
        <v>70.958207013972597</v>
      </c>
      <c r="H68" s="185">
        <f>IF(ISBLANK(F68),"-",G68/$B$56)</f>
        <v>1.0512326965032976</v>
      </c>
    </row>
    <row r="69" spans="1:8" ht="27" customHeight="1" x14ac:dyDescent="0.4">
      <c r="A69" s="171" t="s">
        <v>100</v>
      </c>
      <c r="B69" s="193">
        <f>(D47*B68)/B56*B57</f>
        <v>164.34814814814814</v>
      </c>
      <c r="C69" s="330"/>
      <c r="D69" s="333"/>
      <c r="E69" s="184">
        <v>2</v>
      </c>
      <c r="F69" s="136">
        <v>41235834</v>
      </c>
      <c r="G69" s="274">
        <f>IF(ISBLANK(F69),"-",(F69/$D$50*$D$47*$B$68)*($B$57/$D$68))</f>
        <v>70.838653849669939</v>
      </c>
      <c r="H69" s="185">
        <f t="shared" si="0"/>
        <v>1.0494615385136288</v>
      </c>
    </row>
    <row r="70" spans="1:8" ht="26.25" customHeight="1" x14ac:dyDescent="0.4">
      <c r="A70" s="342" t="s">
        <v>73</v>
      </c>
      <c r="B70" s="343"/>
      <c r="C70" s="330"/>
      <c r="D70" s="333"/>
      <c r="E70" s="184">
        <v>3</v>
      </c>
      <c r="F70" s="136">
        <v>40882956</v>
      </c>
      <c r="G70" s="274">
        <f>IF(ISBLANK(F70),"-",(F70/$D$50*$D$47*$B$68)*($B$57/$D$68))</f>
        <v>70.232448031372101</v>
      </c>
      <c r="H70" s="185">
        <f t="shared" si="0"/>
        <v>1.040480711575883</v>
      </c>
    </row>
    <row r="71" spans="1:8" ht="27" customHeight="1" x14ac:dyDescent="0.4">
      <c r="A71" s="344"/>
      <c r="B71" s="345"/>
      <c r="C71" s="341"/>
      <c r="D71" s="334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1.0593430771718699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1.2204885110838299E-2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9</v>
      </c>
    </row>
    <row r="76" spans="1:8" ht="26.25" customHeight="1" x14ac:dyDescent="0.4">
      <c r="A76" s="107" t="s">
        <v>101</v>
      </c>
      <c r="B76" s="203" t="s">
        <v>102</v>
      </c>
      <c r="C76" s="337" t="str">
        <f>B20</f>
        <v>Amodiaquine</v>
      </c>
      <c r="D76" s="337"/>
      <c r="E76" s="204" t="s">
        <v>103</v>
      </c>
      <c r="F76" s="204"/>
      <c r="G76" s="205">
        <f>H72</f>
        <v>1.0593430771718699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14" t="str">
        <f>B26</f>
        <v>Amodiaquine HCl</v>
      </c>
      <c r="C79" s="314"/>
    </row>
    <row r="80" spans="1:8" ht="26.25" customHeight="1" x14ac:dyDescent="0.4">
      <c r="A80" s="108" t="s">
        <v>43</v>
      </c>
      <c r="B80" s="314" t="str">
        <f>B27</f>
        <v>A7 1</v>
      </c>
      <c r="C80" s="314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15" t="s">
        <v>45</v>
      </c>
      <c r="D82" s="316"/>
      <c r="E82" s="316"/>
      <c r="F82" s="316"/>
      <c r="G82" s="317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18" t="s">
        <v>106</v>
      </c>
      <c r="D84" s="319"/>
      <c r="E84" s="319"/>
      <c r="F84" s="319"/>
      <c r="G84" s="319"/>
      <c r="H84" s="320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18" t="s">
        <v>107</v>
      </c>
      <c r="D85" s="319"/>
      <c r="E85" s="319"/>
      <c r="F85" s="319"/>
      <c r="G85" s="319"/>
      <c r="H85" s="320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21" t="s">
        <v>55</v>
      </c>
      <c r="G89" s="323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23809719</v>
      </c>
      <c r="E91" s="132">
        <f>IF(ISBLANK(D91),"-",$D$101/$D$98*D91)</f>
        <v>27568003.685592726</v>
      </c>
      <c r="F91" s="281">
        <v>20031957</v>
      </c>
      <c r="G91" s="133">
        <f>IF(ISBLANK(F91),"-",$D$101/$F$98*F91)</f>
        <v>27263339.686332371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23471687</v>
      </c>
      <c r="E92" s="137">
        <f>IF(ISBLANK(D92),"-",$D$101/$D$98*D92)</f>
        <v>27176614.46248395</v>
      </c>
      <c r="F92" s="282">
        <v>20209168</v>
      </c>
      <c r="G92" s="138">
        <f>IF(ISBLANK(F92),"-",$D$101/$F$98*F92)</f>
        <v>27504522.496836338</v>
      </c>
      <c r="I92" s="324">
        <f>ABS((F96/D96*D95)-F95)/D95</f>
        <v>6.8901079340253175E-3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23469451</v>
      </c>
      <c r="E93" s="137">
        <f>IF(ISBLANK(D93),"-",$D$101/$D$98*D93)</f>
        <v>27174025.517345998</v>
      </c>
      <c r="F93" s="282">
        <v>20436735</v>
      </c>
      <c r="G93" s="138">
        <f>IF(ISBLANK(F93),"-",$D$101/$F$98*F93)</f>
        <v>27814239.436743885</v>
      </c>
      <c r="I93" s="324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23583619</v>
      </c>
      <c r="E95" s="147">
        <f>AVERAGE(E91:E94)</f>
        <v>27306214.555140894</v>
      </c>
      <c r="F95" s="216">
        <f>AVERAGE(F91:F94)</f>
        <v>20225953.333333332</v>
      </c>
      <c r="G95" s="217">
        <f>AVERAGE(G91:G94)</f>
        <v>27527367.206637532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16.28</v>
      </c>
      <c r="E96" s="139"/>
      <c r="F96" s="151">
        <v>13.85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13.508386856036756</v>
      </c>
      <c r="E97" s="154"/>
      <c r="F97" s="153">
        <f>F96*$B$87</f>
        <v>11.492085869539869</v>
      </c>
    </row>
    <row r="98" spans="1:10" ht="19.5" customHeight="1" x14ac:dyDescent="0.3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13.494878469180719</v>
      </c>
      <c r="E98" s="157"/>
      <c r="F98" s="156">
        <f>F97*$B$83/100</f>
        <v>11.480593783670329</v>
      </c>
    </row>
    <row r="99" spans="1:10" ht="19.5" customHeight="1" x14ac:dyDescent="0.3">
      <c r="A99" s="325" t="s">
        <v>73</v>
      </c>
      <c r="B99" s="339"/>
      <c r="C99" s="220" t="s">
        <v>111</v>
      </c>
      <c r="D99" s="224">
        <f>D98/$B$98</f>
        <v>6.4775416652067444E-2</v>
      </c>
      <c r="E99" s="157"/>
      <c r="F99" s="160">
        <f>F98/$B$98</f>
        <v>5.5106850161617579E-2</v>
      </c>
      <c r="G99" s="225"/>
      <c r="H99" s="149"/>
    </row>
    <row r="100" spans="1:10" ht="19.5" customHeight="1" x14ac:dyDescent="0.3">
      <c r="A100" s="327"/>
      <c r="B100" s="340"/>
      <c r="C100" s="220" t="s">
        <v>75</v>
      </c>
      <c r="D100" s="226">
        <f>$B$56/$B$116</f>
        <v>7.4999999999999997E-2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15.625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18.830893926192417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27416790.880889211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9.351786877630431E-3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25438414</v>
      </c>
      <c r="E108" s="277">
        <f t="shared" ref="E108:E113" si="1">IF(ISBLANK(D108),"-",D108/$D$103*$D$100*$B$116)</f>
        <v>62.629246160129355</v>
      </c>
      <c r="F108" s="243">
        <f>IF(ISBLANK(D108), "-", E108/$B$56)</f>
        <v>0.92784068385376828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26689227</v>
      </c>
      <c r="E109" s="278">
        <f t="shared" si="1"/>
        <v>65.708741417863962</v>
      </c>
      <c r="F109" s="244">
        <f t="shared" ref="F109:F113" si="2">IF(ISBLANK(D109), "-", E109/$B$56)</f>
        <v>0.97346283582020687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25418348</v>
      </c>
      <c r="E110" s="278">
        <f t="shared" si="1"/>
        <v>62.579843769970552</v>
      </c>
      <c r="F110" s="244">
        <f>IF(ISBLANK(D110), "-", E110/$B$56)</f>
        <v>0.92710879659215628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25009952</v>
      </c>
      <c r="E111" s="278">
        <f t="shared" si="1"/>
        <v>61.574374890707396</v>
      </c>
      <c r="F111" s="244">
        <f t="shared" si="2"/>
        <v>0.91221296134381324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24987248</v>
      </c>
      <c r="E112" s="278">
        <f t="shared" si="1"/>
        <v>61.518477757937248</v>
      </c>
      <c r="F112" s="244">
        <f>IF(ISBLANK(D112), "-", E112/$B$56)</f>
        <v>0.91138485567314442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24975356</v>
      </c>
      <c r="E113" s="279">
        <f t="shared" si="1"/>
        <v>61.489199714292852</v>
      </c>
      <c r="F113" s="247">
        <f t="shared" si="2"/>
        <v>0.91095110687841263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0.92716020669358368</v>
      </c>
    </row>
    <row r="116" spans="1:10" ht="27" customHeight="1" x14ac:dyDescent="0.4">
      <c r="A116" s="123" t="s">
        <v>98</v>
      </c>
      <c r="B116" s="155">
        <f>(B115/B114)*(B113/B112)*(B111/B110)*(B109/B108)*B107</f>
        <v>900</v>
      </c>
      <c r="C116" s="252"/>
      <c r="D116" s="253"/>
      <c r="E116" s="214" t="s">
        <v>79</v>
      </c>
      <c r="F116" s="254">
        <f>STDEV(F108:F113)/F115</f>
        <v>2.5882869024807006E-2</v>
      </c>
      <c r="I116" s="97"/>
    </row>
    <row r="117" spans="1:10" ht="27" customHeight="1" x14ac:dyDescent="0.4">
      <c r="A117" s="325" t="s">
        <v>73</v>
      </c>
      <c r="B117" s="326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27"/>
      <c r="B118" s="328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37" t="str">
        <f>B20</f>
        <v>Amodiaquine</v>
      </c>
      <c r="D120" s="337"/>
      <c r="E120" s="204" t="s">
        <v>119</v>
      </c>
      <c r="F120" s="204"/>
      <c r="G120" s="205">
        <f>F115</f>
        <v>0.92716020669358368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38" t="s">
        <v>21</v>
      </c>
      <c r="C122" s="338"/>
      <c r="E122" s="210" t="s">
        <v>22</v>
      </c>
      <c r="F122" s="261"/>
      <c r="G122" s="338" t="s">
        <v>23</v>
      </c>
      <c r="H122" s="338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5" zoomScale="60" zoomScaleNormal="40" zoomScalePageLayoutView="50" workbookViewId="0">
      <selection activeCell="D72" sqref="D72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35" t="s">
        <v>40</v>
      </c>
      <c r="B1" s="335"/>
      <c r="C1" s="335"/>
      <c r="D1" s="335"/>
      <c r="E1" s="335"/>
      <c r="F1" s="335"/>
      <c r="G1" s="335"/>
      <c r="H1" s="335"/>
      <c r="I1" s="335"/>
    </row>
    <row r="2" spans="1:9" ht="18.75" customHeight="1" x14ac:dyDescent="0.25">
      <c r="A2" s="335"/>
      <c r="B2" s="335"/>
      <c r="C2" s="335"/>
      <c r="D2" s="335"/>
      <c r="E2" s="335"/>
      <c r="F2" s="335"/>
      <c r="G2" s="335"/>
      <c r="H2" s="335"/>
      <c r="I2" s="335"/>
    </row>
    <row r="3" spans="1:9" ht="18.75" customHeight="1" x14ac:dyDescent="0.25">
      <c r="A3" s="335"/>
      <c r="B3" s="335"/>
      <c r="C3" s="335"/>
      <c r="D3" s="335"/>
      <c r="E3" s="335"/>
      <c r="F3" s="335"/>
      <c r="G3" s="335"/>
      <c r="H3" s="335"/>
      <c r="I3" s="335"/>
    </row>
    <row r="4" spans="1:9" ht="18.75" customHeight="1" x14ac:dyDescent="0.25">
      <c r="A4" s="335"/>
      <c r="B4" s="335"/>
      <c r="C4" s="335"/>
      <c r="D4" s="335"/>
      <c r="E4" s="335"/>
      <c r="F4" s="335"/>
      <c r="G4" s="335"/>
      <c r="H4" s="335"/>
      <c r="I4" s="335"/>
    </row>
    <row r="5" spans="1:9" ht="18.75" customHeight="1" x14ac:dyDescent="0.25">
      <c r="A5" s="335"/>
      <c r="B5" s="335"/>
      <c r="C5" s="335"/>
      <c r="D5" s="335"/>
      <c r="E5" s="335"/>
      <c r="F5" s="335"/>
      <c r="G5" s="335"/>
      <c r="H5" s="335"/>
      <c r="I5" s="335"/>
    </row>
    <row r="6" spans="1:9" ht="18.75" customHeight="1" x14ac:dyDescent="0.25">
      <c r="A6" s="335"/>
      <c r="B6" s="335"/>
      <c r="C6" s="335"/>
      <c r="D6" s="335"/>
      <c r="E6" s="335"/>
      <c r="F6" s="335"/>
      <c r="G6" s="335"/>
      <c r="H6" s="335"/>
      <c r="I6" s="335"/>
    </row>
    <row r="7" spans="1:9" ht="18.75" customHeight="1" x14ac:dyDescent="0.25">
      <c r="A7" s="335"/>
      <c r="B7" s="335"/>
      <c r="C7" s="335"/>
      <c r="D7" s="335"/>
      <c r="E7" s="335"/>
      <c r="F7" s="335"/>
      <c r="G7" s="335"/>
      <c r="H7" s="335"/>
      <c r="I7" s="335"/>
    </row>
    <row r="8" spans="1:9" x14ac:dyDescent="0.25">
      <c r="A8" s="336" t="s">
        <v>41</v>
      </c>
      <c r="B8" s="336"/>
      <c r="C8" s="336"/>
      <c r="D8" s="336"/>
      <c r="E8" s="336"/>
      <c r="F8" s="336"/>
      <c r="G8" s="336"/>
      <c r="H8" s="336"/>
      <c r="I8" s="336"/>
    </row>
    <row r="9" spans="1:9" x14ac:dyDescent="0.25">
      <c r="A9" s="336"/>
      <c r="B9" s="336"/>
      <c r="C9" s="336"/>
      <c r="D9" s="336"/>
      <c r="E9" s="336"/>
      <c r="F9" s="336"/>
      <c r="G9" s="336"/>
      <c r="H9" s="336"/>
      <c r="I9" s="336"/>
    </row>
    <row r="10" spans="1:9" x14ac:dyDescent="0.25">
      <c r="A10" s="336"/>
      <c r="B10" s="336"/>
      <c r="C10" s="336"/>
      <c r="D10" s="336"/>
      <c r="E10" s="336"/>
      <c r="F10" s="336"/>
      <c r="G10" s="336"/>
      <c r="H10" s="336"/>
      <c r="I10" s="336"/>
    </row>
    <row r="11" spans="1:9" x14ac:dyDescent="0.25">
      <c r="A11" s="336"/>
      <c r="B11" s="336"/>
      <c r="C11" s="336"/>
      <c r="D11" s="336"/>
      <c r="E11" s="336"/>
      <c r="F11" s="336"/>
      <c r="G11" s="336"/>
      <c r="H11" s="336"/>
      <c r="I11" s="336"/>
    </row>
    <row r="12" spans="1:9" x14ac:dyDescent="0.25">
      <c r="A12" s="336"/>
      <c r="B12" s="336"/>
      <c r="C12" s="336"/>
      <c r="D12" s="336"/>
      <c r="E12" s="336"/>
      <c r="F12" s="336"/>
      <c r="G12" s="336"/>
      <c r="H12" s="336"/>
      <c r="I12" s="336"/>
    </row>
    <row r="13" spans="1:9" x14ac:dyDescent="0.25">
      <c r="A13" s="336"/>
      <c r="B13" s="336"/>
      <c r="C13" s="336"/>
      <c r="D13" s="336"/>
      <c r="E13" s="336"/>
      <c r="F13" s="336"/>
      <c r="G13" s="336"/>
      <c r="H13" s="336"/>
      <c r="I13" s="336"/>
    </row>
    <row r="14" spans="1:9" x14ac:dyDescent="0.25">
      <c r="A14" s="336"/>
      <c r="B14" s="336"/>
      <c r="C14" s="336"/>
      <c r="D14" s="336"/>
      <c r="E14" s="336"/>
      <c r="F14" s="336"/>
      <c r="G14" s="336"/>
      <c r="H14" s="336"/>
      <c r="I14" s="336"/>
    </row>
    <row r="15" spans="1:9" ht="19.5" customHeight="1" thickBot="1" x14ac:dyDescent="0.35">
      <c r="A15" s="204"/>
    </row>
    <row r="16" spans="1:9" ht="19.5" customHeight="1" thickBot="1" x14ac:dyDescent="0.35">
      <c r="A16" s="309" t="s">
        <v>26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42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99" t="s">
        <v>28</v>
      </c>
      <c r="B18" s="308" t="s">
        <v>121</v>
      </c>
      <c r="C18" s="308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NDQD201508203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13" t="s">
        <v>125</v>
      </c>
      <c r="C20" s="313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13" t="str">
        <f>Uniformity!C17</f>
        <v>Each bilayered tablet contains Artesunate 25 mg &amp; Amodiaquine HCl 67.5mg</v>
      </c>
      <c r="C21" s="313"/>
      <c r="D21" s="313"/>
      <c r="E21" s="313"/>
      <c r="F21" s="313"/>
      <c r="G21" s="313"/>
      <c r="H21" s="313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08" t="s">
        <v>125</v>
      </c>
      <c r="C26" s="308"/>
    </row>
    <row r="27" spans="1:14" ht="26.25" customHeight="1" x14ac:dyDescent="0.4">
      <c r="A27" s="214" t="s">
        <v>43</v>
      </c>
      <c r="B27" s="314" t="s">
        <v>128</v>
      </c>
      <c r="C27" s="314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15" t="s">
        <v>45</v>
      </c>
      <c r="D29" s="316"/>
      <c r="E29" s="316"/>
      <c r="F29" s="316"/>
      <c r="G29" s="317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18" t="s">
        <v>48</v>
      </c>
      <c r="D31" s="319"/>
      <c r="E31" s="319"/>
      <c r="F31" s="319"/>
      <c r="G31" s="319"/>
      <c r="H31" s="320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18" t="s">
        <v>50</v>
      </c>
      <c r="D32" s="319"/>
      <c r="E32" s="319"/>
      <c r="F32" s="319"/>
      <c r="G32" s="319"/>
      <c r="H32" s="320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21" t="s">
        <v>54</v>
      </c>
      <c r="E36" s="322"/>
      <c r="F36" s="321" t="s">
        <v>55</v>
      </c>
      <c r="G36" s="323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3292437</v>
      </c>
      <c r="E38" s="132">
        <f>IF(ISBLANK(D38),"-",$D$48/$D$45*D38)</f>
        <v>2938100.5987414783</v>
      </c>
      <c r="F38" s="131">
        <v>3741173</v>
      </c>
      <c r="G38" s="133">
        <f>IF(ISBLANK(F38),"-",$D$48/$F$45*F38)</f>
        <v>2941097.4400821365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3298779</v>
      </c>
      <c r="E39" s="137">
        <f>IF(ISBLANK(D39),"-",$D$48/$D$45*D39)</f>
        <v>2943760.0643583508</v>
      </c>
      <c r="F39" s="136">
        <v>3742392</v>
      </c>
      <c r="G39" s="138">
        <f>IF(ISBLANK(F39),"-",$D$48/$F$45*F39)</f>
        <v>2942055.7485536933</v>
      </c>
      <c r="I39" s="324">
        <f>ABS((F43/D43*D42)-F42)/D42</f>
        <v>1.7260904418296935E-3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3322752</v>
      </c>
      <c r="E40" s="137">
        <f>IF(ISBLANK(D40),"-",$D$48/$D$45*D40)</f>
        <v>2965153.0585610126</v>
      </c>
      <c r="F40" s="136">
        <v>3753016</v>
      </c>
      <c r="G40" s="138">
        <f>IF(ISBLANK(F40),"-",$D$48/$F$45*F40)</f>
        <v>2950407.7331327097</v>
      </c>
      <c r="I40" s="324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3304656</v>
      </c>
      <c r="E42" s="147">
        <f>AVERAGE(E38:E41)</f>
        <v>2949004.5738869472</v>
      </c>
      <c r="F42" s="146">
        <f>AVERAGE(F38:F41)</f>
        <v>3745527</v>
      </c>
      <c r="G42" s="148">
        <f>AVERAGE(G38:G41)</f>
        <v>2944520.3072561794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22.57</v>
      </c>
      <c r="E43" s="204"/>
      <c r="F43" s="151">
        <v>25.62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22.57</v>
      </c>
      <c r="E44" s="222"/>
      <c r="F44" s="153">
        <f>F43*$B$34</f>
        <v>25.62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22.412009999999999</v>
      </c>
      <c r="E45" s="200"/>
      <c r="F45" s="156">
        <f>F44*$B$30/100</f>
        <v>25.440659999999998</v>
      </c>
      <c r="H45" s="149"/>
    </row>
    <row r="46" spans="1:14" ht="19.5" customHeight="1" thickBot="1" x14ac:dyDescent="0.35">
      <c r="A46" s="325" t="s">
        <v>73</v>
      </c>
      <c r="B46" s="326"/>
      <c r="C46" s="152" t="s">
        <v>74</v>
      </c>
      <c r="D46" s="158">
        <f>D45/$B$45</f>
        <v>4.4824019999999996</v>
      </c>
      <c r="E46" s="159"/>
      <c r="F46" s="160">
        <f>F45/$B$45</f>
        <v>5.0881319999999999</v>
      </c>
      <c r="H46" s="149"/>
    </row>
    <row r="47" spans="1:14" ht="27" customHeight="1" thickBot="1" x14ac:dyDescent="0.45">
      <c r="A47" s="327"/>
      <c r="B47" s="328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2946762.4405715633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3.3587277331698509E-3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25 mg &amp; Amodiaquine HCl 67.5mg</v>
      </c>
    </row>
    <row r="56" spans="1:12" ht="26.25" customHeight="1" x14ac:dyDescent="0.4">
      <c r="A56" s="176" t="s">
        <v>82</v>
      </c>
      <c r="B56" s="177">
        <v>25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177.49599999999998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5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29" t="s">
        <v>89</v>
      </c>
      <c r="D60" s="332">
        <v>180.9</v>
      </c>
      <c r="E60" s="181">
        <v>1</v>
      </c>
      <c r="F60" s="182">
        <v>3899154</v>
      </c>
      <c r="G60" s="271">
        <f>IF(ISBLANK(F60),"-",(F60/$D$50*$D$47*$B$68)*($B$57/$D$60))</f>
        <v>25.96601249699123</v>
      </c>
      <c r="H60" s="183">
        <f>IF(ISBLANK(F60),"-",G60/$B$56)</f>
        <v>1.0386404998796492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30"/>
      <c r="D61" s="333"/>
      <c r="E61" s="184">
        <v>2</v>
      </c>
      <c r="F61" s="136">
        <v>3898632</v>
      </c>
      <c r="G61" s="272">
        <f>IF(ISBLANK(F61),"-",(F61/$D$50*$D$47*$B$68)*($B$57/$D$60))</f>
        <v>25.962536292018708</v>
      </c>
      <c r="H61" s="185">
        <f t="shared" ref="H61:H71" si="0">IF(ISBLANK(F61),"-",G61/$B$56)</f>
        <v>1.0385014516807483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30"/>
      <c r="D62" s="333"/>
      <c r="E62" s="184">
        <v>3</v>
      </c>
      <c r="F62" s="186">
        <v>3896410</v>
      </c>
      <c r="G62" s="272">
        <f>IF(ISBLANK(F62),"-",(F62/$D$50*$D$47*$B$68)*($B$57/$D$60))</f>
        <v>25.947739112997741</v>
      </c>
      <c r="H62" s="185">
        <f t="shared" si="0"/>
        <v>1.0379095645199097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31"/>
      <c r="D63" s="334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9" t="s">
        <v>94</v>
      </c>
      <c r="D64" s="332">
        <v>170.02</v>
      </c>
      <c r="E64" s="181">
        <v>1</v>
      </c>
      <c r="F64" s="182">
        <v>3581723</v>
      </c>
      <c r="G64" s="273">
        <f>IF(ISBLANK(F64),"-",(F64/$D$50*$D$47*$B$68)*($B$57/$D$64))</f>
        <v>25.378469306472553</v>
      </c>
      <c r="H64" s="189">
        <f>IF(ISBLANK(F64),"-",G64/$B$56)</f>
        <v>1.015138772258902</v>
      </c>
    </row>
    <row r="65" spans="1:8" ht="26.25" customHeight="1" x14ac:dyDescent="0.4">
      <c r="A65" s="123" t="s">
        <v>95</v>
      </c>
      <c r="B65" s="124">
        <v>1</v>
      </c>
      <c r="C65" s="330"/>
      <c r="D65" s="333"/>
      <c r="E65" s="184">
        <v>2</v>
      </c>
      <c r="F65" s="136">
        <v>3586967</v>
      </c>
      <c r="G65" s="274">
        <f>IF(ISBLANK(F65),"-",(F65/$D$50*$D$47*$B$68)*($B$57/$D$64))</f>
        <v>25.41562591881894</v>
      </c>
      <c r="H65" s="190">
        <f t="shared" si="0"/>
        <v>1.0166250367527576</v>
      </c>
    </row>
    <row r="66" spans="1:8" ht="26.25" customHeight="1" x14ac:dyDescent="0.4">
      <c r="A66" s="123" t="s">
        <v>96</v>
      </c>
      <c r="B66" s="124">
        <v>1</v>
      </c>
      <c r="C66" s="330"/>
      <c r="D66" s="333"/>
      <c r="E66" s="184">
        <v>3</v>
      </c>
      <c r="F66" s="136">
        <v>3582330</v>
      </c>
      <c r="G66" s="274">
        <f>IF(ISBLANK(F66),"-",(F66/$D$50*$D$47*$B$68)*($B$57/$D$64))</f>
        <v>25.382770233950485</v>
      </c>
      <c r="H66" s="190">
        <f t="shared" si="0"/>
        <v>1.0153108093580194</v>
      </c>
    </row>
    <row r="67" spans="1:8" ht="27" customHeight="1" thickBot="1" x14ac:dyDescent="0.45">
      <c r="A67" s="123" t="s">
        <v>97</v>
      </c>
      <c r="B67" s="124">
        <v>1</v>
      </c>
      <c r="C67" s="331"/>
      <c r="D67" s="334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5</v>
      </c>
      <c r="C68" s="329" t="s">
        <v>99</v>
      </c>
      <c r="D68" s="332">
        <v>160.11000000000001</v>
      </c>
      <c r="E68" s="181">
        <v>1</v>
      </c>
      <c r="F68" s="182">
        <v>3390121</v>
      </c>
      <c r="G68" s="273">
        <f>IF(ISBLANK(F68),"-",(F68/$D$50*$D$47*$B$68)*($B$57/$D$68))</f>
        <v>25.507634309687603</v>
      </c>
      <c r="H68" s="185">
        <f>IF(ISBLANK(F68),"-",G68/$B$56)</f>
        <v>1.0203053723875042</v>
      </c>
    </row>
    <row r="69" spans="1:8" ht="27" customHeight="1" thickBot="1" x14ac:dyDescent="0.45">
      <c r="A69" s="171" t="s">
        <v>100</v>
      </c>
      <c r="B69" s="193">
        <f>(D47*B68)/B56*B57</f>
        <v>141.99679999999998</v>
      </c>
      <c r="C69" s="330"/>
      <c r="D69" s="333"/>
      <c r="E69" s="184">
        <v>2</v>
      </c>
      <c r="F69" s="136">
        <v>3390722</v>
      </c>
      <c r="G69" s="274">
        <f>IF(ISBLANK(F69),"-",(F69/$D$50*$D$47*$B$68)*($B$57/$D$68))</f>
        <v>25.512156298200736</v>
      </c>
      <c r="H69" s="185">
        <f t="shared" si="0"/>
        <v>1.0204862519280296</v>
      </c>
    </row>
    <row r="70" spans="1:8" ht="26.25" customHeight="1" x14ac:dyDescent="0.4">
      <c r="A70" s="342" t="s">
        <v>73</v>
      </c>
      <c r="B70" s="343"/>
      <c r="C70" s="330"/>
      <c r="D70" s="333"/>
      <c r="E70" s="184">
        <v>3</v>
      </c>
      <c r="F70" s="136">
        <v>3402322</v>
      </c>
      <c r="G70" s="274">
        <f>IF(ISBLANK(F70),"-",(F70/$D$50*$D$47*$B$68)*($B$57/$D$68))</f>
        <v>25.599435943379287</v>
      </c>
      <c r="H70" s="185">
        <f t="shared" si="0"/>
        <v>1.0239774377351716</v>
      </c>
    </row>
    <row r="71" spans="1:8" ht="27" customHeight="1" thickBot="1" x14ac:dyDescent="0.45">
      <c r="A71" s="344"/>
      <c r="B71" s="345"/>
      <c r="C71" s="341"/>
      <c r="D71" s="334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AVERAGE(H60:H71)</f>
        <v>1.0252105773889655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STDEV(H60:H71)/H72</f>
        <v>9.9910058573711713E-3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COUNT(H60:H71)</f>
        <v>9</v>
      </c>
    </row>
    <row r="76" spans="1:8" ht="26.25" customHeight="1" x14ac:dyDescent="0.4">
      <c r="A76" s="262" t="s">
        <v>101</v>
      </c>
      <c r="B76" s="214" t="s">
        <v>102</v>
      </c>
      <c r="C76" s="337" t="str">
        <f>B20</f>
        <v>Artesunate</v>
      </c>
      <c r="D76" s="337"/>
      <c r="E76" s="204" t="s">
        <v>103</v>
      </c>
      <c r="F76" s="204"/>
      <c r="G76" s="205">
        <f>H72</f>
        <v>1.0252105773889655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14" t="str">
        <f>B26</f>
        <v>Artesunate</v>
      </c>
      <c r="C79" s="314"/>
    </row>
    <row r="80" spans="1:8" ht="26.25" customHeight="1" x14ac:dyDescent="0.4">
      <c r="A80" s="214" t="s">
        <v>43</v>
      </c>
      <c r="B80" s="314" t="str">
        <f>B27</f>
        <v>A15 2</v>
      </c>
      <c r="C80" s="314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15" t="s">
        <v>45</v>
      </c>
      <c r="D82" s="316"/>
      <c r="E82" s="316"/>
      <c r="F82" s="316"/>
      <c r="G82" s="317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18" t="s">
        <v>106</v>
      </c>
      <c r="D84" s="319"/>
      <c r="E84" s="319"/>
      <c r="F84" s="319"/>
      <c r="G84" s="319"/>
      <c r="H84" s="320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18" t="s">
        <v>107</v>
      </c>
      <c r="D85" s="319"/>
      <c r="E85" s="319"/>
      <c r="F85" s="319"/>
      <c r="G85" s="319"/>
      <c r="H85" s="320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21" t="s">
        <v>55</v>
      </c>
      <c r="G89" s="323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1021335</v>
      </c>
      <c r="E91" s="132">
        <f>IF(ISBLANK(D91),"-",$D$101/$D$98*D91)</f>
        <v>1139271.9796216404</v>
      </c>
      <c r="F91" s="281">
        <v>1157050</v>
      </c>
      <c r="G91" s="133">
        <f>IF(ISBLANK(F91),"-",$D$101/$F$98*F91)</f>
        <v>1137008.6310653891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1037408</v>
      </c>
      <c r="E92" s="137">
        <f>IF(ISBLANK(D92),"-",$D$101/$D$98*D92)</f>
        <v>1157200.982865883</v>
      </c>
      <c r="F92" s="282">
        <v>1153283</v>
      </c>
      <c r="G92" s="138">
        <f>IF(ISBLANK(F92),"-",$D$101/$F$98*F92)</f>
        <v>1133306.8796171169</v>
      </c>
      <c r="I92" s="324">
        <f>ABS((F96/D96*D95)-F95)/D95</f>
        <v>1.0030393744065539E-2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1020269</v>
      </c>
      <c r="E93" s="137">
        <f>IF(ISBLANK(D93),"-",$D$101/$D$98*D93)</f>
        <v>1138082.8850245918</v>
      </c>
      <c r="F93" s="282">
        <v>1153878</v>
      </c>
      <c r="G93" s="138">
        <f>IF(ISBLANK(F93),"-",$D$101/$F$98*F93)</f>
        <v>1133891.573567667</v>
      </c>
      <c r="I93" s="324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1026337.3333333334</v>
      </c>
      <c r="E95" s="147">
        <f>AVERAGE(E91:E94)</f>
        <v>1144851.9491707052</v>
      </c>
      <c r="F95" s="216">
        <f>AVERAGE(F91:F94)</f>
        <v>1154737</v>
      </c>
      <c r="G95" s="217">
        <f>AVERAGE(G91:G94)</f>
        <v>1134735.6947500578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22.57</v>
      </c>
      <c r="E96" s="204"/>
      <c r="F96" s="151">
        <v>25.62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22.57</v>
      </c>
      <c r="E97" s="222"/>
      <c r="F97" s="153">
        <f>F96*$B$87</f>
        <v>25.62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22.412009999999999</v>
      </c>
      <c r="E98" s="200"/>
      <c r="F98" s="156">
        <f>F97*$B$83/100</f>
        <v>25.440659999999998</v>
      </c>
    </row>
    <row r="99" spans="1:10" ht="19.5" customHeight="1" thickBot="1" x14ac:dyDescent="0.35">
      <c r="A99" s="325" t="s">
        <v>73</v>
      </c>
      <c r="B99" s="339"/>
      <c r="C99" s="220" t="s">
        <v>111</v>
      </c>
      <c r="D99" s="224">
        <f>D98/$B$98</f>
        <v>4.4824019999999999E-2</v>
      </c>
      <c r="E99" s="200"/>
      <c r="F99" s="160">
        <f>F98/$B$98</f>
        <v>5.0881319999999994E-2</v>
      </c>
      <c r="H99" s="149"/>
    </row>
    <row r="100" spans="1:10" ht="19.5" customHeight="1" thickBot="1" x14ac:dyDescent="0.35">
      <c r="A100" s="327"/>
      <c r="B100" s="340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1139793.8219603815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7.757328049680429E-3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</v>
      </c>
      <c r="C108" s="241">
        <v>1</v>
      </c>
      <c r="D108" s="242">
        <v>1091094</v>
      </c>
      <c r="E108" s="277">
        <f t="shared" ref="E108:E113" si="1">IF(ISBLANK(D108),"-",D108/$D$103*$D$100*$B$116)</f>
        <v>23.93182826090818</v>
      </c>
      <c r="F108" s="243">
        <f>IF(ISBLANK(D108), "-", E108/$B$56)</f>
        <v>0.95727313043632722</v>
      </c>
    </row>
    <row r="109" spans="1:10" ht="26.25" customHeight="1" x14ac:dyDescent="0.4">
      <c r="A109" s="123" t="s">
        <v>90</v>
      </c>
      <c r="B109" s="124">
        <v>1</v>
      </c>
      <c r="C109" s="241">
        <v>2</v>
      </c>
      <c r="D109" s="242">
        <v>1098256</v>
      </c>
      <c r="E109" s="278">
        <f t="shared" si="1"/>
        <v>24.088918075355537</v>
      </c>
      <c r="F109" s="244">
        <f t="shared" ref="F109:F113" si="2">IF(ISBLANK(D109), "-", E109/$B$56)</f>
        <v>0.96355672301422146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1098765</v>
      </c>
      <c r="E110" s="278">
        <f t="shared" si="1"/>
        <v>24.100082375209446</v>
      </c>
      <c r="F110" s="244">
        <f>IF(ISBLANK(D110), "-", E110/$B$56)</f>
        <v>0.96400329500837789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1095343</v>
      </c>
      <c r="E111" s="278">
        <f t="shared" si="1"/>
        <v>24.025024940828146</v>
      </c>
      <c r="F111" s="244">
        <f t="shared" si="2"/>
        <v>0.96100099763312585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1101601</v>
      </c>
      <c r="E112" s="278">
        <f t="shared" si="1"/>
        <v>24.162286607794297</v>
      </c>
      <c r="F112" s="244">
        <f>IF(ISBLANK(D112), "-", E112/$B$56)</f>
        <v>0.96649146431177191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1101651</v>
      </c>
      <c r="E113" s="279">
        <f t="shared" si="1"/>
        <v>24.163383297367375</v>
      </c>
      <c r="F113" s="247">
        <f t="shared" si="2"/>
        <v>0.96653533189469498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0.96314349038308655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500</v>
      </c>
      <c r="C116" s="252"/>
      <c r="D116" s="253"/>
      <c r="E116" s="214" t="s">
        <v>79</v>
      </c>
      <c r="F116" s="254">
        <f>STDEV(F108:F113)/F115</f>
        <v>3.6759617469016032E-3</v>
      </c>
      <c r="I116" s="204"/>
    </row>
    <row r="117" spans="1:10" ht="27" customHeight="1" thickBot="1" x14ac:dyDescent="0.45">
      <c r="A117" s="325" t="s">
        <v>73</v>
      </c>
      <c r="B117" s="326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27"/>
      <c r="B118" s="328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37" t="str">
        <f>B20</f>
        <v>Artesunate</v>
      </c>
      <c r="D120" s="337"/>
      <c r="E120" s="204" t="s">
        <v>119</v>
      </c>
      <c r="F120" s="204"/>
      <c r="G120" s="205">
        <f>F115</f>
        <v>0.96314349038308655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38" t="s">
        <v>21</v>
      </c>
      <c r="C122" s="338"/>
      <c r="E122" s="287" t="s">
        <v>22</v>
      </c>
      <c r="F122" s="261"/>
      <c r="G122" s="338" t="s">
        <v>23</v>
      </c>
      <c r="H122" s="338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MichaelBugigiSangale</cp:lastModifiedBy>
  <cp:lastPrinted>2015-10-21T09:39:21Z</cp:lastPrinted>
  <dcterms:created xsi:type="dcterms:W3CDTF">2005-07-05T10:19:27Z</dcterms:created>
  <dcterms:modified xsi:type="dcterms:W3CDTF">2015-12-09T06:16:15Z</dcterms:modified>
</cp:coreProperties>
</file>