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85" windowWidth="13095" windowHeight="4305" activeTab="4"/>
  </bookViews>
  <sheets>
    <sheet name="SST (AH)" sheetId="4" r:id="rId1"/>
    <sheet name="SST (A)" sheetId="1" r:id="rId2"/>
    <sheet name="Uniformity" sheetId="2" r:id="rId3"/>
    <sheet name="Amodiaquine HCl" sheetId="3" r:id="rId4"/>
    <sheet name="Artesunate" sheetId="5" r:id="rId5"/>
  </sheets>
  <definedNames>
    <definedName name="_xlnm.Print_Area" localSheetId="3">'Amodiaquine HCl'!$A$1:$N$125</definedName>
    <definedName name="_xlnm.Print_Area" localSheetId="4">Artesunate!$A$1:$N$125</definedName>
    <definedName name="_xlnm.Print_Area" localSheetId="0">'SST (AH)'!$A$1:$F$61</definedName>
    <definedName name="_xlnm.Print_Area" localSheetId="2">Uniformity!$A$1:$F$54</definedName>
  </definedNames>
  <calcPr calcId="144525"/>
</workbook>
</file>

<file path=xl/calcChain.xml><?xml version="1.0" encoding="utf-8"?>
<calcChain xmlns="http://schemas.openxmlformats.org/spreadsheetml/2006/main">
  <c r="B85" i="3" l="1"/>
  <c r="B31" i="3"/>
  <c r="B84" i="3" s="1"/>
  <c r="B116" i="5"/>
  <c r="D100" i="5" s="1"/>
  <c r="B98" i="5"/>
  <c r="F95" i="5"/>
  <c r="D95" i="5"/>
  <c r="G94" i="5"/>
  <c r="E94" i="5"/>
  <c r="B87" i="5"/>
  <c r="F97" i="5" s="1"/>
  <c r="F98" i="5" s="1"/>
  <c r="B81" i="5"/>
  <c r="B83" i="5" s="1"/>
  <c r="B80" i="5"/>
  <c r="B79" i="5"/>
  <c r="H71" i="5"/>
  <c r="G71" i="5"/>
  <c r="B68" i="5"/>
  <c r="H67" i="5"/>
  <c r="G67" i="5"/>
  <c r="H63" i="5"/>
  <c r="G63" i="5"/>
  <c r="B45" i="5"/>
  <c r="D48" i="5" s="1"/>
  <c r="D44" i="5"/>
  <c r="D45" i="5" s="1"/>
  <c r="F42" i="5"/>
  <c r="D42" i="5"/>
  <c r="G41" i="5"/>
  <c r="E41" i="5"/>
  <c r="B34" i="5"/>
  <c r="F44" i="5" s="1"/>
  <c r="B30" i="5"/>
  <c r="B23" i="5"/>
  <c r="B22" i="5"/>
  <c r="B21" i="5"/>
  <c r="B55" i="5" s="1"/>
  <c r="C120" i="5"/>
  <c r="B19" i="5"/>
  <c r="B53" i="4"/>
  <c r="E51" i="4"/>
  <c r="D51" i="4"/>
  <c r="C51" i="4"/>
  <c r="B51" i="4"/>
  <c r="B52" i="4" s="1"/>
  <c r="B41" i="4"/>
  <c r="B40" i="4"/>
  <c r="B39" i="4"/>
  <c r="B32" i="4"/>
  <c r="E30" i="4"/>
  <c r="D30" i="4"/>
  <c r="C30" i="4"/>
  <c r="B30" i="4"/>
  <c r="B31" i="4" s="1"/>
  <c r="B21" i="4"/>
  <c r="B42" i="4" s="1"/>
  <c r="B17" i="4"/>
  <c r="B17" i="1"/>
  <c r="B23" i="3"/>
  <c r="B22" i="3"/>
  <c r="B21" i="3"/>
  <c r="B19" i="3"/>
  <c r="F99" i="5" l="1"/>
  <c r="D101" i="5"/>
  <c r="D102" i="5" s="1"/>
  <c r="D46" i="5"/>
  <c r="I92" i="5"/>
  <c r="I39" i="5"/>
  <c r="F45" i="5"/>
  <c r="F46" i="5" s="1"/>
  <c r="G40" i="5"/>
  <c r="E39" i="5"/>
  <c r="D49" i="5"/>
  <c r="E40" i="5"/>
  <c r="G38" i="5"/>
  <c r="E38" i="5"/>
  <c r="C76" i="5"/>
  <c r="D97" i="5"/>
  <c r="D98" i="5" s="1"/>
  <c r="D99" i="5" s="1"/>
  <c r="C56" i="5"/>
  <c r="B21" i="1"/>
  <c r="G91" i="5" l="1"/>
  <c r="E92" i="5"/>
  <c r="G93" i="5"/>
  <c r="G92" i="5"/>
  <c r="E91" i="5"/>
  <c r="E93" i="5"/>
  <c r="G39" i="5"/>
  <c r="D52" i="5" s="1"/>
  <c r="E42" i="5"/>
  <c r="B45" i="3"/>
  <c r="D48" i="3" s="1"/>
  <c r="B87" i="3"/>
  <c r="B34" i="3"/>
  <c r="D44" i="3" s="1"/>
  <c r="B30" i="3"/>
  <c r="B42" i="1"/>
  <c r="B41" i="1"/>
  <c r="B40" i="1"/>
  <c r="B39" i="1"/>
  <c r="C120" i="3"/>
  <c r="B116" i="3"/>
  <c r="D100" i="3" s="1"/>
  <c r="B98" i="3"/>
  <c r="F95" i="3"/>
  <c r="D95" i="3"/>
  <c r="D97" i="3"/>
  <c r="B81" i="3"/>
  <c r="B83" i="3" s="1"/>
  <c r="B80" i="3"/>
  <c r="B79" i="3"/>
  <c r="C76" i="3"/>
  <c r="B68" i="3"/>
  <c r="C56" i="3"/>
  <c r="B55" i="3"/>
  <c r="F42" i="3"/>
  <c r="D42" i="3"/>
  <c r="C46" i="2"/>
  <c r="C45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G95" i="5" l="1"/>
  <c r="D105" i="5"/>
  <c r="B57" i="3"/>
  <c r="B69" i="3" s="1"/>
  <c r="B57" i="5"/>
  <c r="B69" i="5" s="1"/>
  <c r="E95" i="5"/>
  <c r="D103" i="5"/>
  <c r="E112" i="5" s="1"/>
  <c r="F112" i="5" s="1"/>
  <c r="D50" i="5"/>
  <c r="G42" i="5"/>
  <c r="D51" i="5"/>
  <c r="D27" i="2"/>
  <c r="D31" i="2"/>
  <c r="D35" i="2"/>
  <c r="D39" i="2"/>
  <c r="D43" i="2"/>
  <c r="C49" i="2"/>
  <c r="D25" i="2"/>
  <c r="D29" i="2"/>
  <c r="D33" i="2"/>
  <c r="D37" i="2"/>
  <c r="D41" i="2"/>
  <c r="D24" i="2"/>
  <c r="D28" i="2"/>
  <c r="D32" i="2"/>
  <c r="D36" i="2"/>
  <c r="D40" i="2"/>
  <c r="D49" i="2"/>
  <c r="D26" i="2"/>
  <c r="D30" i="2"/>
  <c r="D34" i="2"/>
  <c r="D38" i="2"/>
  <c r="D42" i="2"/>
  <c r="B49" i="2"/>
  <c r="D50" i="2"/>
  <c r="I92" i="3"/>
  <c r="D101" i="3"/>
  <c r="F97" i="3"/>
  <c r="F98" i="3" s="1"/>
  <c r="I39" i="3"/>
  <c r="F44" i="3"/>
  <c r="F45" i="3" s="1"/>
  <c r="G38" i="3" s="1"/>
  <c r="D45" i="3"/>
  <c r="E38" i="3" s="1"/>
  <c r="D98" i="3"/>
  <c r="E41" i="3"/>
  <c r="D49" i="3"/>
  <c r="E39" i="3"/>
  <c r="C50" i="2"/>
  <c r="G70" i="5" l="1"/>
  <c r="H70" i="5" s="1"/>
  <c r="G64" i="5"/>
  <c r="H64" i="5" s="1"/>
  <c r="G69" i="5"/>
  <c r="H69" i="5" s="1"/>
  <c r="G62" i="5"/>
  <c r="H62" i="5" s="1"/>
  <c r="G61" i="5"/>
  <c r="H61" i="5" s="1"/>
  <c r="G60" i="5"/>
  <c r="H60" i="5" s="1"/>
  <c r="G68" i="5"/>
  <c r="H68" i="5" s="1"/>
  <c r="G65" i="5"/>
  <c r="H65" i="5" s="1"/>
  <c r="D104" i="5"/>
  <c r="E109" i="5"/>
  <c r="F109" i="5" s="1"/>
  <c r="E108" i="5"/>
  <c r="F108" i="5" s="1"/>
  <c r="E110" i="5"/>
  <c r="F110" i="5" s="1"/>
  <c r="E113" i="5"/>
  <c r="F113" i="5" s="1"/>
  <c r="E111" i="5"/>
  <c r="F111" i="5" s="1"/>
  <c r="G66" i="5"/>
  <c r="H66" i="5" s="1"/>
  <c r="E91" i="3"/>
  <c r="G91" i="3"/>
  <c r="D102" i="3"/>
  <c r="E92" i="3"/>
  <c r="G93" i="3"/>
  <c r="G94" i="3"/>
  <c r="F99" i="3"/>
  <c r="G92" i="3"/>
  <c r="D46" i="3"/>
  <c r="F46" i="3"/>
  <c r="G39" i="3"/>
  <c r="G41" i="3"/>
  <c r="E94" i="3"/>
  <c r="G40" i="3"/>
  <c r="D99" i="3"/>
  <c r="E93" i="3"/>
  <c r="E40" i="3"/>
  <c r="H74" i="5" l="1"/>
  <c r="H72" i="5"/>
  <c r="G76" i="5" s="1"/>
  <c r="F117" i="5"/>
  <c r="F115" i="5"/>
  <c r="G120" i="5" s="1"/>
  <c r="G95" i="3"/>
  <c r="D103" i="3"/>
  <c r="E111" i="3" s="1"/>
  <c r="F111" i="3" s="1"/>
  <c r="G42" i="3"/>
  <c r="E95" i="3"/>
  <c r="D52" i="3"/>
  <c r="E42" i="3"/>
  <c r="D105" i="3"/>
  <c r="D50" i="3"/>
  <c r="H73" i="5" l="1"/>
  <c r="F116" i="5"/>
  <c r="D104" i="3"/>
  <c r="G68" i="3"/>
  <c r="H68" i="3" s="1"/>
  <c r="G60" i="3"/>
  <c r="H60" i="3" s="1"/>
  <c r="D51" i="3"/>
  <c r="E113" i="3"/>
  <c r="F113" i="3" s="1"/>
  <c r="E112" i="3"/>
  <c r="F112" i="3" s="1"/>
  <c r="E110" i="3"/>
  <c r="F110" i="3" s="1"/>
  <c r="E109" i="3"/>
  <c r="F109" i="3" s="1"/>
  <c r="E108" i="3"/>
  <c r="F108" i="3" s="1"/>
  <c r="G69" i="3"/>
  <c r="H69" i="3" s="1"/>
  <c r="G70" i="3"/>
  <c r="H70" i="3" s="1"/>
  <c r="G64" i="3"/>
  <c r="H64" i="3" s="1"/>
  <c r="G61" i="3"/>
  <c r="H61" i="3" s="1"/>
  <c r="G71" i="3"/>
  <c r="H71" i="3" s="1"/>
  <c r="G65" i="3"/>
  <c r="H65" i="3" s="1"/>
  <c r="G62" i="3"/>
  <c r="H62" i="3" s="1"/>
  <c r="G63" i="3"/>
  <c r="H63" i="3" s="1"/>
  <c r="G67" i="3"/>
  <c r="H67" i="3" s="1"/>
  <c r="G66" i="3"/>
  <c r="H66" i="3" s="1"/>
  <c r="F117" i="3" l="1"/>
  <c r="F115" i="3"/>
  <c r="G120" i="3" s="1"/>
  <c r="H74" i="3"/>
  <c r="H72" i="3"/>
  <c r="G76" i="3" s="1"/>
  <c r="H73" i="3" l="1"/>
  <c r="F116" i="3"/>
</calcChain>
</file>

<file path=xl/sharedStrings.xml><?xml version="1.0" encoding="utf-8"?>
<sst xmlns="http://schemas.openxmlformats.org/spreadsheetml/2006/main" count="434" uniqueCount="131">
  <si>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</si>
  <si>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</si>
  <si>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</si>
  <si>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</si>
  <si>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</si>
  <si>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</si>
  <si>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</si>
  <si>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</si>
  <si>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</si>
  <si>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</si>
  <si>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</si>
  <si>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</si>
  <si>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</si>
  <si>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</si>
  <si>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</si>
  <si>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</si>
  <si>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</si>
  <si>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</si>
  <si>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</si>
  <si>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</si>
  <si>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</si>
  <si>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</si>
  <si>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</si>
  <si>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</si>
  <si>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</si>
  <si>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</si>
  <si>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</si>
  <si>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</si>
  <si>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</si>
  <si>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</si>
  <si>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</si>
  <si>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</si>
  <si>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</si>
  <si>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</si>
  <si>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</si>
  <si>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</si>
  <si>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</si>
  <si>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</si>
  <si>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</si>
  <si>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</si>
  <si>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</si>
  <si>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</si>
  <si>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</si>
  <si>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</si>
  <si>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</si>
  <si>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</si>
  <si>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</si>
  <si>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</si>
  <si>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</si>
  <si>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</si>
  <si>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</si>
  <si>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</si>
  <si>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</si>
  <si>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</si>
  <si>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</si>
  <si>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</si>
  <si>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</si>
  <si>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</si>
  <si>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</si>
  <si>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</si>
  <si>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</si>
  <si>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</si>
  <si>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</si>
  <si>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</si>
  <si>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</si>
  <si>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</si>
  <si>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</si>
  <si>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</si>
  <si>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</si>
  <si>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</si>
  <si>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</si>
  <si>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</si>
  <si>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</si>
  <si>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</si>
  <si>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</si>
  <si>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</si>
  <si>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</si>
  <si>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</si>
  <si>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</si>
  <si>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</si>
  <si>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</si>
  <si>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</si>
  <si>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</si>
  <si>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</si>
  <si>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</si>
  <si>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</si>
  <si>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</si>
  <si>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</si>
  <si>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</si>
  <si>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</si>
  <si>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</si>
  <si>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</si>
  <si>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</si>
  <si>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</si>
  <si>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</si>
  <si>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</si>
  <si>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</si>
  <si>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</si>
  <si>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</si>
  <si>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</si>
  <si>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</si>
  <si>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</si>
  <si>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</si>
  <si>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</si>
  <si>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</si>
  <si>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</si>
  <si>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</si>
  <si>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</si>
  <si>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</si>
  <si>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</si>
  <si>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</si>
  <si>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</si>
  <si>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</si>
  <si>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</si>
  <si>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</si>
  <si>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</si>
  <si>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</si>
  <si>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</si>
  <si>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</si>
  <si>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</si>
  <si>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Bugigi</t>
  </si>
  <si>
    <t>Artesunate &amp; Amodiaquine Tablets</t>
  </si>
  <si>
    <t>Arteunate &amp; Amodiaquine Tablets</t>
  </si>
  <si>
    <t>NDQD201508203</t>
  </si>
  <si>
    <t>Arteunate &amp; Amodiaquine</t>
  </si>
  <si>
    <t>Artesunate</t>
  </si>
  <si>
    <t>Amodiaquine HCl</t>
  </si>
  <si>
    <t>A7 1</t>
  </si>
  <si>
    <t>A15 2</t>
  </si>
  <si>
    <t>Amodiaquine</t>
  </si>
  <si>
    <t>Each bilayered tablet contains Artesunate 25 mg &amp; Amodiaquine HCl 67.5mg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</si>
</sst>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34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5" fillId="2" borderId="0" xfId="0" applyNumberFormat="1" applyFont="1" applyFill="1" applyAlignment="1">
      <alignment horizontal="left"/>
    </xf>
    <xf numFmtId="0" fontId="13" fillId="3" borderId="29" xfId="1" applyFont="1" applyFill="1" applyBorder="1" applyAlignment="1" applyProtection="1">
      <alignment horizontal="center"/>
      <protection locked="0"/>
    </xf>
    <xf numFmtId="0" fontId="13" fillId="3" borderId="23" xfId="1" applyFont="1" applyFill="1" applyBorder="1" applyAlignment="1" applyProtection="1">
      <alignment horizontal="center"/>
      <protection locked="0"/>
    </xf>
    <xf numFmtId="0" fontId="13" fillId="3" borderId="34" xfId="1" applyFont="1" applyFill="1" applyBorder="1" applyAlignment="1" applyProtection="1">
      <alignment horizontal="center"/>
      <protection locked="0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0" fontId="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14" fontId="2" fillId="2" borderId="7" xfId="0" applyNumberFormat="1" applyFont="1" applyFill="1" applyBorder="1" applyAlignment="1">
      <alignment horizontal="center"/>
    </xf>
    <xf numFmtId="14" fontId="6" fillId="2" borderId="7" xfId="0" applyNumberFormat="1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4" fontId="11" fillId="2" borderId="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2">
    <cellStyle name="Normal" xfId="0" builtinId="0"/>
    <cellStyle name="Normal 2" xfId="1"/>
  </cellStyles>
  <dxfs count="37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25" zoomScale="80" zoomScaleNormal="100" zoomScaleSheetLayoutView="80" workbookViewId="0">
      <selection activeCell="B45" sqref="B45:E50"/>
    </sheetView>
  </sheetViews>
  <sheetFormatPr defaultRowHeight="13.5" x14ac:dyDescent="0.25"/>
  <cols>
    <col min="1" max="1" width="33" style="225" customWidth="1"/>
    <col min="2" max="2" width="24.7109375" style="225" customWidth="1"/>
    <col min="3" max="3" width="31.85546875" style="225" customWidth="1"/>
    <col min="4" max="4" width="25.85546875" style="225" customWidth="1"/>
    <col min="5" max="5" width="25.7109375" style="225" customWidth="1"/>
    <col min="6" max="6" width="23.140625" style="225" customWidth="1"/>
    <col min="7" max="7" width="28.42578125" style="225" customWidth="1"/>
    <col min="8" max="8" width="21.5703125" style="225" customWidth="1"/>
    <col min="9" max="9" width="9.140625" style="225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298" t="s">
        <v>0</v>
      </c>
      <c r="B15" s="298"/>
      <c r="C15" s="298"/>
      <c r="D15" s="298"/>
      <c r="E15" s="298"/>
    </row>
    <row r="16" spans="1:6" ht="16.5" customHeight="1" x14ac:dyDescent="0.3">
      <c r="A16" s="89" t="s">
        <v>1</v>
      </c>
      <c r="B16" s="59" t="s">
        <v>2</v>
      </c>
    </row>
    <row r="17" spans="1:5" ht="16.5" customHeight="1" x14ac:dyDescent="0.3">
      <c r="A17" s="8" t="s">
        <v>3</v>
      </c>
      <c r="B17" s="8" t="str">
        <f>Uniformity!C14</f>
        <v>Arteunate &amp; Amodiaquine Tablets</v>
      </c>
      <c r="D17" s="9"/>
      <c r="E17" s="71"/>
    </row>
    <row r="18" spans="1:5" ht="16.5" customHeight="1" x14ac:dyDescent="0.3">
      <c r="A18" s="74" t="s">
        <v>4</v>
      </c>
      <c r="B18" s="12" t="s">
        <v>126</v>
      </c>
      <c r="C18" s="71"/>
      <c r="D18" s="71"/>
      <c r="E18" s="71"/>
    </row>
    <row r="19" spans="1:5" ht="16.5" customHeight="1" x14ac:dyDescent="0.3">
      <c r="A19" s="74" t="s">
        <v>5</v>
      </c>
      <c r="B19" s="12">
        <v>99.9</v>
      </c>
      <c r="C19" s="71"/>
      <c r="D19" s="71"/>
      <c r="E19" s="71"/>
    </row>
    <row r="20" spans="1:5" ht="16.5" customHeight="1" x14ac:dyDescent="0.3">
      <c r="A20" s="8" t="s">
        <v>6</v>
      </c>
      <c r="B20" s="9">
        <v>27.22</v>
      </c>
      <c r="C20" s="71"/>
      <c r="D20" s="71"/>
      <c r="E20" s="71"/>
    </row>
    <row r="21" spans="1:5" ht="16.5" customHeight="1" x14ac:dyDescent="0.3">
      <c r="A21" s="8" t="s">
        <v>7</v>
      </c>
      <c r="B21" s="13">
        <f>B20/10*1/25</f>
        <v>0.10888</v>
      </c>
      <c r="C21" s="71"/>
      <c r="D21" s="71"/>
      <c r="E21" s="71"/>
    </row>
    <row r="22" spans="1:5" ht="15.75" customHeight="1" x14ac:dyDescent="0.25">
      <c r="A22" s="71"/>
      <c r="B22" s="71"/>
      <c r="C22" s="71"/>
      <c r="D22" s="71"/>
      <c r="E22" s="71"/>
    </row>
    <row r="23" spans="1:5" ht="16.5" customHeight="1" x14ac:dyDescent="0.3">
      <c r="A23" s="16" t="s">
        <v>8</v>
      </c>
      <c r="B23" s="15" t="s">
        <v>9</v>
      </c>
      <c r="C23" s="16" t="s">
        <v>10</v>
      </c>
      <c r="D23" s="16" t="s">
        <v>11</v>
      </c>
      <c r="E23" s="16" t="s">
        <v>12</v>
      </c>
    </row>
    <row r="24" spans="1:5" ht="16.5" customHeight="1" x14ac:dyDescent="0.3">
      <c r="A24" s="17">
        <v>1</v>
      </c>
      <c r="B24" s="18">
        <v>39447962</v>
      </c>
      <c r="C24" s="18">
        <v>3024.9</v>
      </c>
      <c r="D24" s="19">
        <v>1.8</v>
      </c>
      <c r="E24" s="20">
        <v>2</v>
      </c>
    </row>
    <row r="25" spans="1:5" ht="16.5" customHeight="1" x14ac:dyDescent="0.3">
      <c r="A25" s="17">
        <v>2</v>
      </c>
      <c r="B25" s="18">
        <v>39486658</v>
      </c>
      <c r="C25" s="18">
        <v>3022.9</v>
      </c>
      <c r="D25" s="19">
        <v>1.8</v>
      </c>
      <c r="E25" s="19">
        <v>2</v>
      </c>
    </row>
    <row r="26" spans="1:5" ht="16.5" customHeight="1" x14ac:dyDescent="0.3">
      <c r="A26" s="17">
        <v>3</v>
      </c>
      <c r="B26" s="18">
        <v>39793965</v>
      </c>
      <c r="C26" s="18">
        <v>3039.3</v>
      </c>
      <c r="D26" s="19">
        <v>1.8</v>
      </c>
      <c r="E26" s="19">
        <v>2</v>
      </c>
    </row>
    <row r="27" spans="1:5" ht="16.5" customHeight="1" x14ac:dyDescent="0.3">
      <c r="A27" s="17">
        <v>4</v>
      </c>
      <c r="B27" s="18">
        <v>39620928</v>
      </c>
      <c r="C27" s="18">
        <v>3059</v>
      </c>
      <c r="D27" s="19">
        <v>1.9</v>
      </c>
      <c r="E27" s="19">
        <v>2</v>
      </c>
    </row>
    <row r="28" spans="1:5" ht="16.5" customHeight="1" x14ac:dyDescent="0.3">
      <c r="A28" s="17">
        <v>5</v>
      </c>
      <c r="B28" s="18">
        <v>39441904</v>
      </c>
      <c r="C28" s="18">
        <v>3053</v>
      </c>
      <c r="D28" s="19">
        <v>1.8</v>
      </c>
      <c r="E28" s="19">
        <v>2</v>
      </c>
    </row>
    <row r="29" spans="1:5" ht="16.5" customHeight="1" x14ac:dyDescent="0.3">
      <c r="A29" s="17">
        <v>6</v>
      </c>
      <c r="B29" s="21">
        <v>39667647</v>
      </c>
      <c r="C29" s="21">
        <v>3072.2</v>
      </c>
      <c r="D29" s="22">
        <v>1.8</v>
      </c>
      <c r="E29" s="22">
        <v>2</v>
      </c>
    </row>
    <row r="30" spans="1:5" ht="16.5" customHeight="1" x14ac:dyDescent="0.3">
      <c r="A30" s="23" t="s">
        <v>13</v>
      </c>
      <c r="B30" s="24">
        <f>AVERAGE(B24:B29)</f>
        <v>39576510.666666664</v>
      </c>
      <c r="C30" s="25">
        <f>AVERAGE(C24:C29)</f>
        <v>3045.2166666666667</v>
      </c>
      <c r="D30" s="26">
        <f>AVERAGE(D24:D29)</f>
        <v>1.8166666666666671</v>
      </c>
      <c r="E30" s="26">
        <f>AVERAGE(E24:E29)</f>
        <v>2</v>
      </c>
    </row>
    <row r="31" spans="1:5" ht="16.5" customHeight="1" x14ac:dyDescent="0.3">
      <c r="A31" s="27" t="s">
        <v>14</v>
      </c>
      <c r="B31" s="28">
        <f>(STDEV(B24:B29)/B30)</f>
        <v>3.5784068224919419E-3</v>
      </c>
      <c r="C31" s="29"/>
      <c r="D31" s="29"/>
      <c r="E31" s="30"/>
    </row>
    <row r="32" spans="1:5" s="225" customFormat="1" ht="16.5" customHeight="1" x14ac:dyDescent="0.3">
      <c r="A32" s="31" t="s">
        <v>15</v>
      </c>
      <c r="B32" s="32">
        <f>COUNT(B24:B29)</f>
        <v>6</v>
      </c>
      <c r="C32" s="33"/>
      <c r="D32" s="72"/>
      <c r="E32" s="35"/>
    </row>
    <row r="33" spans="1:5" s="225" customFormat="1" ht="15.75" customHeight="1" x14ac:dyDescent="0.25">
      <c r="A33" s="71"/>
      <c r="B33" s="71"/>
      <c r="C33" s="71"/>
      <c r="D33" s="71"/>
      <c r="E33" s="71"/>
    </row>
    <row r="34" spans="1:5" s="225" customFormat="1" ht="16.5" customHeight="1" x14ac:dyDescent="0.3">
      <c r="A34" s="74" t="s">
        <v>16</v>
      </c>
      <c r="B34" s="40" t="s">
        <v>17</v>
      </c>
      <c r="C34" s="39"/>
      <c r="D34" s="39"/>
      <c r="E34" s="39"/>
    </row>
    <row r="35" spans="1:5" ht="16.5" customHeight="1" x14ac:dyDescent="0.3">
      <c r="A35" s="74"/>
      <c r="B35" s="40" t="s">
        <v>18</v>
      </c>
      <c r="C35" s="39"/>
      <c r="D35" s="39"/>
      <c r="E35" s="39"/>
    </row>
    <row r="36" spans="1:5" ht="16.5" customHeight="1" x14ac:dyDescent="0.3">
      <c r="A36" s="74"/>
      <c r="B36" s="40" t="s">
        <v>19</v>
      </c>
      <c r="C36" s="39"/>
      <c r="D36" s="39"/>
      <c r="E36" s="39"/>
    </row>
    <row r="37" spans="1:5" ht="15.75" customHeight="1" x14ac:dyDescent="0.25">
      <c r="A37" s="71"/>
      <c r="B37" s="71"/>
      <c r="C37" s="71"/>
      <c r="D37" s="71"/>
      <c r="E37" s="71"/>
    </row>
    <row r="38" spans="1:5" ht="16.5" customHeight="1" x14ac:dyDescent="0.3">
      <c r="A38" s="89" t="s">
        <v>1</v>
      </c>
      <c r="B38" s="59" t="s">
        <v>20</v>
      </c>
    </row>
    <row r="39" spans="1:5" ht="16.5" customHeight="1" x14ac:dyDescent="0.3">
      <c r="A39" s="74" t="s">
        <v>4</v>
      </c>
      <c r="B39" s="280" t="str">
        <f>B18</f>
        <v>Amodiaquine HCl</v>
      </c>
      <c r="C39" s="71"/>
      <c r="D39" s="71"/>
      <c r="E39" s="71"/>
    </row>
    <row r="40" spans="1:5" ht="16.5" customHeight="1" x14ac:dyDescent="0.3">
      <c r="A40" s="74" t="s">
        <v>5</v>
      </c>
      <c r="B40" s="12">
        <f>B19</f>
        <v>99.9</v>
      </c>
      <c r="C40" s="71"/>
      <c r="D40" s="71"/>
      <c r="E40" s="71"/>
    </row>
    <row r="41" spans="1:5" ht="16.5" customHeight="1" x14ac:dyDescent="0.3">
      <c r="A41" s="8" t="s">
        <v>6</v>
      </c>
      <c r="B41" s="12">
        <f>B20</f>
        <v>27.22</v>
      </c>
      <c r="C41" s="71"/>
      <c r="D41" s="71"/>
      <c r="E41" s="71"/>
    </row>
    <row r="42" spans="1:5" ht="16.5" customHeight="1" x14ac:dyDescent="0.3">
      <c r="A42" s="8" t="s">
        <v>7</v>
      </c>
      <c r="B42" s="13">
        <f>B21</f>
        <v>0.10888</v>
      </c>
      <c r="C42" s="71"/>
      <c r="D42" s="71"/>
      <c r="E42" s="71"/>
    </row>
    <row r="43" spans="1:5" ht="15.75" customHeight="1" x14ac:dyDescent="0.25">
      <c r="A43" s="71"/>
      <c r="B43" s="71"/>
      <c r="C43" s="71"/>
      <c r="D43" s="71"/>
      <c r="E43" s="71"/>
    </row>
    <row r="44" spans="1:5" ht="16.5" customHeight="1" x14ac:dyDescent="0.3">
      <c r="A44" s="16" t="s">
        <v>8</v>
      </c>
      <c r="B44" s="15" t="s">
        <v>9</v>
      </c>
      <c r="C44" s="16" t="s">
        <v>10</v>
      </c>
      <c r="D44" s="16" t="s">
        <v>11</v>
      </c>
      <c r="E44" s="16" t="s">
        <v>12</v>
      </c>
    </row>
    <row r="45" spans="1:5" ht="16.5" customHeight="1" x14ac:dyDescent="0.3">
      <c r="A45" s="17">
        <v>1</v>
      </c>
      <c r="B45" s="18">
        <v>39447962</v>
      </c>
      <c r="C45" s="18">
        <v>3024.9</v>
      </c>
      <c r="D45" s="19">
        <v>1.8</v>
      </c>
      <c r="E45" s="20">
        <v>2</v>
      </c>
    </row>
    <row r="46" spans="1:5" ht="16.5" customHeight="1" x14ac:dyDescent="0.3">
      <c r="A46" s="17">
        <v>2</v>
      </c>
      <c r="B46" s="18">
        <v>39486658</v>
      </c>
      <c r="C46" s="18">
        <v>3022.9</v>
      </c>
      <c r="D46" s="19">
        <v>1.8</v>
      </c>
      <c r="E46" s="19">
        <v>2</v>
      </c>
    </row>
    <row r="47" spans="1:5" ht="16.5" customHeight="1" x14ac:dyDescent="0.3">
      <c r="A47" s="17">
        <v>3</v>
      </c>
      <c r="B47" s="18">
        <v>39793965</v>
      </c>
      <c r="C47" s="18">
        <v>3039.3</v>
      </c>
      <c r="D47" s="19">
        <v>1.8</v>
      </c>
      <c r="E47" s="19">
        <v>2</v>
      </c>
    </row>
    <row r="48" spans="1:5" ht="16.5" customHeight="1" x14ac:dyDescent="0.3">
      <c r="A48" s="17">
        <v>4</v>
      </c>
      <c r="B48" s="18">
        <v>39620928</v>
      </c>
      <c r="C48" s="18">
        <v>3059</v>
      </c>
      <c r="D48" s="19">
        <v>1.9</v>
      </c>
      <c r="E48" s="19">
        <v>2</v>
      </c>
    </row>
    <row r="49" spans="1:7" ht="16.5" customHeight="1" x14ac:dyDescent="0.3">
      <c r="A49" s="17">
        <v>5</v>
      </c>
      <c r="B49" s="18">
        <v>39441904</v>
      </c>
      <c r="C49" s="18">
        <v>3053</v>
      </c>
      <c r="D49" s="19">
        <v>1.8</v>
      </c>
      <c r="E49" s="19">
        <v>2</v>
      </c>
    </row>
    <row r="50" spans="1:7" ht="16.5" customHeight="1" x14ac:dyDescent="0.3">
      <c r="A50" s="17">
        <v>6</v>
      </c>
      <c r="B50" s="21">
        <v>39667647</v>
      </c>
      <c r="C50" s="21">
        <v>3072.2</v>
      </c>
      <c r="D50" s="22">
        <v>1.8</v>
      </c>
      <c r="E50" s="22">
        <v>2</v>
      </c>
    </row>
    <row r="51" spans="1:7" ht="16.5" customHeight="1" x14ac:dyDescent="0.3">
      <c r="A51" s="23" t="s">
        <v>13</v>
      </c>
      <c r="B51" s="24">
        <f>AVERAGE(B45:B50)</f>
        <v>39576510.666666664</v>
      </c>
      <c r="C51" s="25">
        <f>AVERAGE(C45:C50)</f>
        <v>3045.2166666666667</v>
      </c>
      <c r="D51" s="26">
        <f>AVERAGE(D45:D50)</f>
        <v>1.8166666666666671</v>
      </c>
      <c r="E51" s="26">
        <f>AVERAGE(E45:E50)</f>
        <v>2</v>
      </c>
    </row>
    <row r="52" spans="1:7" ht="16.5" customHeight="1" x14ac:dyDescent="0.3">
      <c r="A52" s="27" t="s">
        <v>14</v>
      </c>
      <c r="B52" s="28">
        <f>(STDEV(B45:B50)/B51)</f>
        <v>3.5784068224919419E-3</v>
      </c>
      <c r="C52" s="29"/>
      <c r="D52" s="29"/>
      <c r="E52" s="30"/>
    </row>
    <row r="53" spans="1:7" s="225" customFormat="1" ht="16.5" customHeight="1" x14ac:dyDescent="0.3">
      <c r="A53" s="31" t="s">
        <v>15</v>
      </c>
      <c r="B53" s="32">
        <f>COUNT(B45:B50)</f>
        <v>6</v>
      </c>
      <c r="C53" s="33"/>
      <c r="D53" s="72"/>
      <c r="E53" s="35"/>
    </row>
    <row r="54" spans="1:7" s="225" customFormat="1" ht="15.75" customHeight="1" x14ac:dyDescent="0.25">
      <c r="A54" s="71"/>
      <c r="B54" s="71"/>
      <c r="C54" s="71"/>
      <c r="D54" s="71"/>
      <c r="E54" s="71"/>
    </row>
    <row r="55" spans="1:7" s="225" customFormat="1" ht="16.5" customHeight="1" x14ac:dyDescent="0.3">
      <c r="A55" s="74" t="s">
        <v>16</v>
      </c>
      <c r="B55" s="40" t="s">
        <v>17</v>
      </c>
      <c r="C55" s="39"/>
      <c r="D55" s="39"/>
      <c r="E55" s="39"/>
    </row>
    <row r="56" spans="1:7" ht="16.5" customHeight="1" x14ac:dyDescent="0.3">
      <c r="A56" s="74"/>
      <c r="B56" s="40" t="s">
        <v>18</v>
      </c>
      <c r="C56" s="39"/>
      <c r="D56" s="39"/>
      <c r="E56" s="39"/>
    </row>
    <row r="57" spans="1:7" ht="16.5" customHeight="1" x14ac:dyDescent="0.3">
      <c r="A57" s="74"/>
      <c r="B57" s="40" t="s">
        <v>19</v>
      </c>
      <c r="C57" s="39"/>
      <c r="D57" s="39"/>
      <c r="E57" s="39"/>
    </row>
    <row r="58" spans="1:7" ht="14.25" customHeight="1" thickBot="1" x14ac:dyDescent="0.3">
      <c r="A58" s="41"/>
      <c r="B58" s="149"/>
      <c r="D58" s="43"/>
      <c r="F58" s="44"/>
      <c r="G58" s="44"/>
    </row>
    <row r="59" spans="1:7" ht="15" customHeight="1" x14ac:dyDescent="0.3">
      <c r="B59" s="299" t="s">
        <v>21</v>
      </c>
      <c r="C59" s="299"/>
      <c r="E59" s="285" t="s">
        <v>22</v>
      </c>
      <c r="F59" s="46"/>
      <c r="G59" s="285" t="s">
        <v>23</v>
      </c>
    </row>
    <row r="60" spans="1:7" ht="15" customHeight="1" x14ac:dyDescent="0.3">
      <c r="A60" s="47" t="s">
        <v>24</v>
      </c>
      <c r="B60" s="295" t="s">
        <v>120</v>
      </c>
      <c r="C60" s="49"/>
      <c r="E60" s="292">
        <v>42339</v>
      </c>
      <c r="G60" s="49"/>
    </row>
    <row r="61" spans="1:7" ht="15" customHeight="1" x14ac:dyDescent="0.3">
      <c r="A61" s="47" t="s">
        <v>25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1" zoomScale="90" zoomScaleNormal="100" zoomScaleSheetLayoutView="90" workbookViewId="0">
      <selection activeCell="B45" sqref="B45:E5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98" t="s">
        <v>0</v>
      </c>
      <c r="B15" s="298"/>
      <c r="C15" s="298"/>
      <c r="D15" s="298"/>
      <c r="E15" s="298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tr">
        <f>Uniformity!C14</f>
        <v>Arteunate &amp; Amodiaquine Tablets</v>
      </c>
      <c r="D17" s="9"/>
      <c r="E17" s="10"/>
    </row>
    <row r="18" spans="1:6" ht="16.5" customHeight="1" x14ac:dyDescent="0.3">
      <c r="A18" s="11" t="s">
        <v>4</v>
      </c>
      <c r="B18" s="12" t="s">
        <v>125</v>
      </c>
      <c r="C18" s="10"/>
      <c r="D18" s="10"/>
      <c r="E18" s="10"/>
    </row>
    <row r="19" spans="1:6" ht="16.5" customHeight="1" x14ac:dyDescent="0.3">
      <c r="A19" s="11" t="s">
        <v>5</v>
      </c>
      <c r="B19" s="12">
        <v>99.3</v>
      </c>
      <c r="C19" s="10"/>
      <c r="D19" s="10"/>
      <c r="E19" s="10"/>
    </row>
    <row r="20" spans="1:6" ht="16.5" customHeight="1" x14ac:dyDescent="0.3">
      <c r="A20" s="7" t="s">
        <v>6</v>
      </c>
      <c r="B20" s="9">
        <v>27.22</v>
      </c>
      <c r="C20" s="10"/>
      <c r="D20" s="10"/>
      <c r="E20" s="10"/>
    </row>
    <row r="21" spans="1:6" ht="16.5" customHeight="1" x14ac:dyDescent="0.3">
      <c r="A21" s="7" t="s">
        <v>7</v>
      </c>
      <c r="B21" s="13">
        <f>B20/10*1/25</f>
        <v>0.10888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8</v>
      </c>
      <c r="B23" s="15" t="s">
        <v>9</v>
      </c>
      <c r="C23" s="14" t="s">
        <v>10</v>
      </c>
      <c r="D23" s="14" t="s">
        <v>11</v>
      </c>
      <c r="E23" s="16" t="s">
        <v>12</v>
      </c>
    </row>
    <row r="24" spans="1:6" ht="16.5" customHeight="1" x14ac:dyDescent="0.3">
      <c r="A24" s="17">
        <v>1</v>
      </c>
      <c r="B24" s="18">
        <v>3314790</v>
      </c>
      <c r="C24" s="18">
        <v>8191.5</v>
      </c>
      <c r="D24" s="19">
        <v>1</v>
      </c>
      <c r="E24" s="20">
        <v>8.1999999999999993</v>
      </c>
    </row>
    <row r="25" spans="1:6" ht="16.5" customHeight="1" x14ac:dyDescent="0.3">
      <c r="A25" s="17">
        <v>2</v>
      </c>
      <c r="B25" s="18">
        <v>3325714</v>
      </c>
      <c r="C25" s="18">
        <v>8185.5</v>
      </c>
      <c r="D25" s="19">
        <v>1</v>
      </c>
      <c r="E25" s="19">
        <v>8.1999999999999993</v>
      </c>
    </row>
    <row r="26" spans="1:6" ht="16.5" customHeight="1" x14ac:dyDescent="0.3">
      <c r="A26" s="17">
        <v>3</v>
      </c>
      <c r="B26" s="18">
        <v>3307872</v>
      </c>
      <c r="C26" s="18">
        <v>8239.7000000000007</v>
      </c>
      <c r="D26" s="19">
        <v>1</v>
      </c>
      <c r="E26" s="19">
        <v>8.1999999999999993</v>
      </c>
    </row>
    <row r="27" spans="1:6" ht="16.5" customHeight="1" x14ac:dyDescent="0.3">
      <c r="A27" s="17">
        <v>4</v>
      </c>
      <c r="B27" s="18">
        <v>3302099</v>
      </c>
      <c r="C27" s="18">
        <v>8230.9</v>
      </c>
      <c r="D27" s="19">
        <v>1</v>
      </c>
      <c r="E27" s="19">
        <v>8.1999999999999993</v>
      </c>
    </row>
    <row r="28" spans="1:6" ht="16.5" customHeight="1" x14ac:dyDescent="0.3">
      <c r="A28" s="17">
        <v>5</v>
      </c>
      <c r="B28" s="18">
        <v>3307267</v>
      </c>
      <c r="C28" s="18">
        <v>8224.6</v>
      </c>
      <c r="D28" s="19">
        <v>1</v>
      </c>
      <c r="E28" s="19">
        <v>8.1999999999999993</v>
      </c>
    </row>
    <row r="29" spans="1:6" ht="16.5" customHeight="1" x14ac:dyDescent="0.3">
      <c r="A29" s="17">
        <v>6</v>
      </c>
      <c r="B29" s="21">
        <v>3316852</v>
      </c>
      <c r="C29" s="21">
        <v>8204.1</v>
      </c>
      <c r="D29" s="22">
        <v>1</v>
      </c>
      <c r="E29" s="22">
        <v>8.1999999999999993</v>
      </c>
    </row>
    <row r="30" spans="1:6" ht="16.5" customHeight="1" x14ac:dyDescent="0.3">
      <c r="A30" s="23" t="s">
        <v>13</v>
      </c>
      <c r="B30" s="24">
        <f>AVERAGE(B24:B29)</f>
        <v>3312432.3333333335</v>
      </c>
      <c r="C30" s="25">
        <f>AVERAGE(C24:C29)</f>
        <v>8212.7166666666653</v>
      </c>
      <c r="D30" s="26">
        <f>AVERAGE(D24:D29)</f>
        <v>1</v>
      </c>
      <c r="E30" s="26">
        <f>AVERAGE(E24:E29)</f>
        <v>8.2000000000000011</v>
      </c>
    </row>
    <row r="31" spans="1:6" ht="16.5" customHeight="1" x14ac:dyDescent="0.3">
      <c r="A31" s="27" t="s">
        <v>14</v>
      </c>
      <c r="B31" s="28">
        <f>(STDEV(B24:B29)/B30)</f>
        <v>2.5464802704878243E-3</v>
      </c>
      <c r="C31" s="29"/>
      <c r="D31" s="29"/>
      <c r="E31" s="30"/>
      <c r="F31" s="2"/>
    </row>
    <row r="32" spans="1:6" s="2" customFormat="1" ht="16.5" customHeight="1" x14ac:dyDescent="0.3">
      <c r="A32" s="31" t="s">
        <v>15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16</v>
      </c>
      <c r="B34" s="37" t="s">
        <v>17</v>
      </c>
      <c r="C34" s="38"/>
      <c r="D34" s="38"/>
      <c r="E34" s="39"/>
    </row>
    <row r="35" spans="1:6" ht="16.5" customHeight="1" x14ac:dyDescent="0.3">
      <c r="A35" s="11"/>
      <c r="B35" s="37" t="s">
        <v>18</v>
      </c>
      <c r="C35" s="38"/>
      <c r="D35" s="38"/>
      <c r="E35" s="39"/>
      <c r="F35" s="2"/>
    </row>
    <row r="36" spans="1:6" ht="16.5" customHeight="1" x14ac:dyDescent="0.3">
      <c r="A36" s="11"/>
      <c r="B36" s="40" t="s">
        <v>19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20</v>
      </c>
    </row>
    <row r="39" spans="1:6" ht="16.5" customHeight="1" x14ac:dyDescent="0.3">
      <c r="A39" s="11" t="s">
        <v>4</v>
      </c>
      <c r="B39" s="280" t="str">
        <f>B18</f>
        <v>Artesunate</v>
      </c>
      <c r="C39" s="10"/>
      <c r="D39" s="10"/>
      <c r="E39" s="10"/>
    </row>
    <row r="40" spans="1:6" ht="16.5" customHeight="1" x14ac:dyDescent="0.3">
      <c r="A40" s="11" t="s">
        <v>5</v>
      </c>
      <c r="B40" s="12">
        <f>B19</f>
        <v>99.3</v>
      </c>
      <c r="C40" s="10"/>
      <c r="D40" s="10"/>
      <c r="E40" s="10"/>
    </row>
    <row r="41" spans="1:6" ht="16.5" customHeight="1" x14ac:dyDescent="0.3">
      <c r="A41" s="7" t="s">
        <v>6</v>
      </c>
      <c r="B41" s="12">
        <f>B20</f>
        <v>27.22</v>
      </c>
      <c r="C41" s="10"/>
      <c r="D41" s="10"/>
      <c r="E41" s="10"/>
    </row>
    <row r="42" spans="1:6" ht="16.5" customHeight="1" x14ac:dyDescent="0.3">
      <c r="A42" s="7" t="s">
        <v>7</v>
      </c>
      <c r="B42" s="13">
        <f>B21</f>
        <v>0.10888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8</v>
      </c>
      <c r="B44" s="15" t="s">
        <v>9</v>
      </c>
      <c r="C44" s="14" t="s">
        <v>10</v>
      </c>
      <c r="D44" s="14" t="s">
        <v>11</v>
      </c>
      <c r="E44" s="16" t="s">
        <v>12</v>
      </c>
    </row>
    <row r="45" spans="1:6" ht="16.5" customHeight="1" x14ac:dyDescent="0.3">
      <c r="A45" s="17">
        <v>1</v>
      </c>
      <c r="B45" s="18">
        <v>3314790</v>
      </c>
      <c r="C45" s="18">
        <v>8191.5</v>
      </c>
      <c r="D45" s="19">
        <v>1</v>
      </c>
      <c r="E45" s="20">
        <v>8.1999999999999993</v>
      </c>
    </row>
    <row r="46" spans="1:6" ht="16.5" customHeight="1" x14ac:dyDescent="0.3">
      <c r="A46" s="17">
        <v>2</v>
      </c>
      <c r="B46" s="18">
        <v>3325714</v>
      </c>
      <c r="C46" s="18">
        <v>8185.5</v>
      </c>
      <c r="D46" s="19">
        <v>1</v>
      </c>
      <c r="E46" s="19">
        <v>8.1999999999999993</v>
      </c>
    </row>
    <row r="47" spans="1:6" ht="16.5" customHeight="1" x14ac:dyDescent="0.3">
      <c r="A47" s="17">
        <v>3</v>
      </c>
      <c r="B47" s="18">
        <v>3307872</v>
      </c>
      <c r="C47" s="18">
        <v>8239.7000000000007</v>
      </c>
      <c r="D47" s="19">
        <v>1</v>
      </c>
      <c r="E47" s="19">
        <v>8.1999999999999993</v>
      </c>
    </row>
    <row r="48" spans="1:6" ht="16.5" customHeight="1" x14ac:dyDescent="0.3">
      <c r="A48" s="17">
        <v>4</v>
      </c>
      <c r="B48" s="18">
        <v>3302099</v>
      </c>
      <c r="C48" s="18">
        <v>8230.9</v>
      </c>
      <c r="D48" s="19">
        <v>1</v>
      </c>
      <c r="E48" s="19">
        <v>8.1999999999999993</v>
      </c>
    </row>
    <row r="49" spans="1:7" ht="16.5" customHeight="1" x14ac:dyDescent="0.3">
      <c r="A49" s="17">
        <v>5</v>
      </c>
      <c r="B49" s="18">
        <v>3307267</v>
      </c>
      <c r="C49" s="18">
        <v>8224.6</v>
      </c>
      <c r="D49" s="19">
        <v>1</v>
      </c>
      <c r="E49" s="19">
        <v>8.1999999999999993</v>
      </c>
    </row>
    <row r="50" spans="1:7" ht="16.5" customHeight="1" x14ac:dyDescent="0.3">
      <c r="A50" s="17">
        <v>6</v>
      </c>
      <c r="B50" s="21">
        <v>3316852</v>
      </c>
      <c r="C50" s="21">
        <v>8204.1</v>
      </c>
      <c r="D50" s="22">
        <v>1</v>
      </c>
      <c r="E50" s="22">
        <v>8.1999999999999993</v>
      </c>
    </row>
    <row r="51" spans="1:7" ht="16.5" customHeight="1" x14ac:dyDescent="0.3">
      <c r="A51" s="23" t="s">
        <v>13</v>
      </c>
      <c r="B51" s="24">
        <f>AVERAGE(B45:B50)</f>
        <v>3312432.3333333335</v>
      </c>
      <c r="C51" s="25">
        <f>AVERAGE(C45:C50)</f>
        <v>8212.7166666666653</v>
      </c>
      <c r="D51" s="26">
        <f>AVERAGE(D45:D50)</f>
        <v>1</v>
      </c>
      <c r="E51" s="26">
        <f>AVERAGE(E45:E50)</f>
        <v>8.2000000000000011</v>
      </c>
    </row>
    <row r="52" spans="1:7" ht="16.5" customHeight="1" x14ac:dyDescent="0.3">
      <c r="A52" s="27" t="s">
        <v>14</v>
      </c>
      <c r="B52" s="28">
        <f>(STDEV(B45:B50)/B51)</f>
        <v>2.5464802704878243E-3</v>
      </c>
      <c r="C52" s="29"/>
      <c r="D52" s="29"/>
      <c r="E52" s="30"/>
      <c r="F52" s="2"/>
    </row>
    <row r="53" spans="1:7" s="2" customFormat="1" ht="16.5" customHeight="1" x14ac:dyDescent="0.3">
      <c r="A53" s="31" t="s">
        <v>15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16</v>
      </c>
      <c r="B55" s="37" t="s">
        <v>17</v>
      </c>
      <c r="C55" s="38"/>
      <c r="D55" s="38"/>
      <c r="E55" s="39"/>
    </row>
    <row r="56" spans="1:7" ht="16.5" customHeight="1" x14ac:dyDescent="0.3">
      <c r="A56" s="11"/>
      <c r="B56" s="37" t="s">
        <v>18</v>
      </c>
      <c r="C56" s="38"/>
      <c r="D56" s="38"/>
      <c r="E56" s="39"/>
      <c r="F56" s="2"/>
    </row>
    <row r="57" spans="1:7" ht="16.5" customHeight="1" x14ac:dyDescent="0.3">
      <c r="A57" s="11"/>
      <c r="B57" s="40" t="s">
        <v>19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99" t="s">
        <v>21</v>
      </c>
      <c r="C59" s="299"/>
      <c r="E59" s="45" t="s">
        <v>22</v>
      </c>
      <c r="F59" s="46"/>
      <c r="G59" s="45" t="s">
        <v>23</v>
      </c>
    </row>
    <row r="60" spans="1:7" ht="15" customHeight="1" x14ac:dyDescent="0.3">
      <c r="A60" s="47" t="s">
        <v>24</v>
      </c>
      <c r="B60" s="295" t="s">
        <v>120</v>
      </c>
      <c r="C60" s="48"/>
      <c r="E60" s="292">
        <v>42339</v>
      </c>
      <c r="F60" s="2"/>
      <c r="G60" s="49"/>
    </row>
    <row r="61" spans="1:7" ht="15" customHeight="1" x14ac:dyDescent="0.3">
      <c r="A61" s="47" t="s">
        <v>25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7" workbookViewId="0">
      <selection activeCell="C18" sqref="C18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303" t="s">
        <v>26</v>
      </c>
      <c r="B11" s="304"/>
      <c r="C11" s="304"/>
      <c r="D11" s="304"/>
      <c r="E11" s="304"/>
      <c r="F11" s="305"/>
      <c r="G11" s="90"/>
    </row>
    <row r="12" spans="1:7" ht="16.5" customHeight="1" x14ac:dyDescent="0.3">
      <c r="A12" s="302" t="s">
        <v>27</v>
      </c>
      <c r="B12" s="302"/>
      <c r="C12" s="302"/>
      <c r="D12" s="302"/>
      <c r="E12" s="302"/>
      <c r="F12" s="302"/>
      <c r="G12" s="89"/>
    </row>
    <row r="14" spans="1:7" ht="16.5" customHeight="1" x14ac:dyDescent="0.3">
      <c r="A14" s="307" t="s">
        <v>28</v>
      </c>
      <c r="B14" s="307"/>
      <c r="C14" s="60" t="s">
        <v>122</v>
      </c>
    </row>
    <row r="15" spans="1:7" ht="16.5" customHeight="1" x14ac:dyDescent="0.3">
      <c r="A15" s="307" t="s">
        <v>29</v>
      </c>
      <c r="B15" s="307"/>
      <c r="C15" s="60" t="s">
        <v>123</v>
      </c>
    </row>
    <row r="16" spans="1:7" ht="16.5" customHeight="1" x14ac:dyDescent="0.3">
      <c r="A16" s="307" t="s">
        <v>30</v>
      </c>
      <c r="B16" s="307"/>
      <c r="C16" s="60" t="s">
        <v>124</v>
      </c>
    </row>
    <row r="17" spans="1:5" ht="16.5" customHeight="1" x14ac:dyDescent="0.3">
      <c r="A17" s="307" t="s">
        <v>31</v>
      </c>
      <c r="B17" s="307"/>
      <c r="C17" s="60" t="s">
        <v>130</v>
      </c>
    </row>
    <row r="18" spans="1:5" ht="16.5" customHeight="1" x14ac:dyDescent="0.3">
      <c r="A18" s="307" t="s">
        <v>32</v>
      </c>
      <c r="B18" s="307"/>
      <c r="C18" s="96">
        <v>42312</v>
      </c>
    </row>
    <row r="19" spans="1:5" ht="16.5" customHeight="1" x14ac:dyDescent="0.3">
      <c r="A19" s="307" t="s">
        <v>33</v>
      </c>
      <c r="B19" s="307"/>
      <c r="C19" s="96">
        <v>42338</v>
      </c>
    </row>
    <row r="20" spans="1:5" ht="16.5" customHeight="1" x14ac:dyDescent="0.3">
      <c r="A20" s="62"/>
      <c r="B20" s="62"/>
      <c r="C20" s="76"/>
    </row>
    <row r="21" spans="1:5" ht="16.5" customHeight="1" x14ac:dyDescent="0.3">
      <c r="A21" s="302" t="s">
        <v>1</v>
      </c>
      <c r="B21" s="302"/>
      <c r="C21" s="59" t="s">
        <v>34</v>
      </c>
      <c r="D21" s="66"/>
    </row>
    <row r="22" spans="1:5" ht="15.75" customHeight="1" x14ac:dyDescent="0.3">
      <c r="A22" s="306"/>
      <c r="B22" s="306"/>
      <c r="C22" s="57"/>
      <c r="D22" s="306"/>
      <c r="E22" s="306"/>
    </row>
    <row r="23" spans="1:5" ht="33.75" customHeight="1" x14ac:dyDescent="0.3">
      <c r="C23" s="85" t="s">
        <v>35</v>
      </c>
      <c r="D23" s="84" t="s">
        <v>36</v>
      </c>
      <c r="E23" s="52"/>
    </row>
    <row r="24" spans="1:5" ht="15.75" customHeight="1" x14ac:dyDescent="0.3">
      <c r="C24" s="94">
        <v>180.57</v>
      </c>
      <c r="D24" s="86">
        <f t="shared" ref="D24:D43" si="0">(C24-$C$46)/$C$46</f>
        <v>1.7318700139721529E-2</v>
      </c>
      <c r="E24" s="53"/>
    </row>
    <row r="25" spans="1:5" ht="15.75" customHeight="1" x14ac:dyDescent="0.3">
      <c r="C25" s="94">
        <v>179.63</v>
      </c>
      <c r="D25" s="87">
        <f t="shared" si="0"/>
        <v>1.2022806147744258E-2</v>
      </c>
      <c r="E25" s="53"/>
    </row>
    <row r="26" spans="1:5" ht="15.75" customHeight="1" x14ac:dyDescent="0.3">
      <c r="C26" s="94">
        <v>181.14</v>
      </c>
      <c r="D26" s="87">
        <f t="shared" si="0"/>
        <v>2.0530040113580058E-2</v>
      </c>
      <c r="E26" s="53"/>
    </row>
    <row r="27" spans="1:5" ht="15.75" customHeight="1" x14ac:dyDescent="0.3">
      <c r="C27" s="94">
        <v>175.72</v>
      </c>
      <c r="D27" s="87">
        <f t="shared" si="0"/>
        <v>-1.0005859286969747E-2</v>
      </c>
      <c r="E27" s="53"/>
    </row>
    <row r="28" spans="1:5" ht="15.75" customHeight="1" x14ac:dyDescent="0.3">
      <c r="C28" s="94">
        <v>176.94</v>
      </c>
      <c r="D28" s="87">
        <f t="shared" si="0"/>
        <v>-3.132464956956682E-3</v>
      </c>
      <c r="E28" s="53"/>
    </row>
    <row r="29" spans="1:5" ht="15.75" customHeight="1" x14ac:dyDescent="0.3">
      <c r="C29" s="94">
        <v>177.88</v>
      </c>
      <c r="D29" s="87">
        <f t="shared" si="0"/>
        <v>2.1634290350205899E-3</v>
      </c>
      <c r="E29" s="53"/>
    </row>
    <row r="30" spans="1:5" ht="15.75" customHeight="1" x14ac:dyDescent="0.3">
      <c r="C30" s="94">
        <v>178.37</v>
      </c>
      <c r="D30" s="87">
        <f t="shared" si="0"/>
        <v>4.9240546265832677E-3</v>
      </c>
      <c r="E30" s="53"/>
    </row>
    <row r="31" spans="1:5" ht="15.75" customHeight="1" x14ac:dyDescent="0.3">
      <c r="C31" s="94">
        <v>178.53</v>
      </c>
      <c r="D31" s="87">
        <f t="shared" si="0"/>
        <v>5.8254833911751272E-3</v>
      </c>
      <c r="E31" s="53"/>
    </row>
    <row r="32" spans="1:5" ht="15.75" customHeight="1" x14ac:dyDescent="0.3">
      <c r="C32" s="94">
        <v>178.05</v>
      </c>
      <c r="D32" s="87">
        <f t="shared" si="0"/>
        <v>3.1211970973995498E-3</v>
      </c>
      <c r="E32" s="53"/>
    </row>
    <row r="33" spans="1:7" ht="15.75" customHeight="1" x14ac:dyDescent="0.3">
      <c r="C33" s="94">
        <v>174.75</v>
      </c>
      <c r="D33" s="87">
        <f t="shared" si="0"/>
        <v>-1.5470771172308002E-2</v>
      </c>
      <c r="E33" s="53"/>
    </row>
    <row r="34" spans="1:7" ht="15.75" customHeight="1" x14ac:dyDescent="0.3">
      <c r="C34" s="94">
        <v>176.52</v>
      </c>
      <c r="D34" s="87">
        <f t="shared" si="0"/>
        <v>-5.4987154640102915E-3</v>
      </c>
      <c r="E34" s="53"/>
    </row>
    <row r="35" spans="1:7" ht="15.75" customHeight="1" x14ac:dyDescent="0.3">
      <c r="C35" s="94">
        <v>180.39</v>
      </c>
      <c r="D35" s="87">
        <f t="shared" si="0"/>
        <v>1.6304592779555628E-2</v>
      </c>
      <c r="E35" s="53"/>
    </row>
    <row r="36" spans="1:7" ht="15.75" customHeight="1" x14ac:dyDescent="0.3">
      <c r="C36" s="94">
        <v>176.44</v>
      </c>
      <c r="D36" s="87">
        <f t="shared" si="0"/>
        <v>-5.9494298463063011E-3</v>
      </c>
      <c r="E36" s="53"/>
    </row>
    <row r="37" spans="1:7" ht="15.75" customHeight="1" x14ac:dyDescent="0.3">
      <c r="C37" s="94">
        <v>179.7</v>
      </c>
      <c r="D37" s="87">
        <f t="shared" si="0"/>
        <v>1.2417181232253166E-2</v>
      </c>
      <c r="E37" s="53"/>
    </row>
    <row r="38" spans="1:7" ht="15.75" customHeight="1" x14ac:dyDescent="0.3">
      <c r="C38" s="94">
        <v>177.25</v>
      </c>
      <c r="D38" s="87">
        <f t="shared" si="0"/>
        <v>-1.3859467255599052E-3</v>
      </c>
      <c r="E38" s="53"/>
    </row>
    <row r="39" spans="1:7" ht="15.75" customHeight="1" x14ac:dyDescent="0.3">
      <c r="C39" s="94">
        <v>176.4</v>
      </c>
      <c r="D39" s="87">
        <f t="shared" si="0"/>
        <v>-6.1747870374542265E-3</v>
      </c>
      <c r="E39" s="53"/>
    </row>
    <row r="40" spans="1:7" ht="15.75" customHeight="1" x14ac:dyDescent="0.3">
      <c r="C40" s="94">
        <v>173.17</v>
      </c>
      <c r="D40" s="87">
        <f t="shared" si="0"/>
        <v>-2.4372380222652871E-2</v>
      </c>
      <c r="E40" s="53"/>
    </row>
    <row r="41" spans="1:7" ht="15.75" customHeight="1" x14ac:dyDescent="0.3">
      <c r="C41" s="94">
        <v>178.08</v>
      </c>
      <c r="D41" s="87">
        <f t="shared" si="0"/>
        <v>3.2902149907605336E-3</v>
      </c>
      <c r="E41" s="53"/>
    </row>
    <row r="42" spans="1:7" ht="15.75" customHeight="1" x14ac:dyDescent="0.3">
      <c r="C42" s="94">
        <v>176.6</v>
      </c>
      <c r="D42" s="87">
        <f t="shared" si="0"/>
        <v>-5.0480010817144424E-3</v>
      </c>
      <c r="E42" s="53"/>
    </row>
    <row r="43" spans="1:7" ht="16.5" customHeight="1" x14ac:dyDescent="0.3">
      <c r="C43" s="95">
        <v>173.79</v>
      </c>
      <c r="D43" s="88">
        <f t="shared" si="0"/>
        <v>-2.0879343759859316E-2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1" t="s">
        <v>37</v>
      </c>
      <c r="C45" s="82">
        <f>SUM(C24:C44)</f>
        <v>3549.9199999999996</v>
      </c>
      <c r="D45" s="77"/>
      <c r="E45" s="54"/>
    </row>
    <row r="46" spans="1:7" ht="17.25" customHeight="1" x14ac:dyDescent="0.3">
      <c r="B46" s="81" t="s">
        <v>38</v>
      </c>
      <c r="C46" s="83">
        <f>AVERAGE(C24:C44)</f>
        <v>177.49599999999998</v>
      </c>
      <c r="E46" s="56"/>
    </row>
    <row r="47" spans="1:7" ht="17.25" customHeight="1" x14ac:dyDescent="0.3">
      <c r="A47" s="60"/>
      <c r="B47" s="78"/>
      <c r="D47" s="58"/>
      <c r="E47" s="56"/>
    </row>
    <row r="48" spans="1:7" ht="33.75" customHeight="1" x14ac:dyDescent="0.3">
      <c r="B48" s="91" t="s">
        <v>38</v>
      </c>
      <c r="C48" s="84" t="s">
        <v>39</v>
      </c>
      <c r="D48" s="79"/>
      <c r="G48" s="58"/>
    </row>
    <row r="49" spans="1:6" ht="17.25" customHeight="1" x14ac:dyDescent="0.3">
      <c r="B49" s="300">
        <f>C46</f>
        <v>177.49599999999998</v>
      </c>
      <c r="C49" s="92">
        <f>-IF(C46&lt;=80,10%,IF(C46&lt;250,7.5%,5%))</f>
        <v>-7.4999999999999997E-2</v>
      </c>
      <c r="D49" s="80">
        <f>IF(C46&lt;=80,C46*0.9,IF(C46&lt;250,C46*0.925,C46*0.95))</f>
        <v>164.18379999999999</v>
      </c>
    </row>
    <row r="50" spans="1:6" ht="17.25" customHeight="1" x14ac:dyDescent="0.3">
      <c r="B50" s="301"/>
      <c r="C50" s="93">
        <f>IF(C46&lt;=80, 10%, IF(C46&lt;250, 7.5%, 5%))</f>
        <v>7.4999999999999997E-2</v>
      </c>
      <c r="D50" s="80">
        <f>IF(C46&lt;=80, C46*1.1, IF(C46&lt;250, C46*1.075, C46*1.05))</f>
        <v>190.80819999999997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21</v>
      </c>
      <c r="C52" s="67"/>
      <c r="D52" s="68" t="s">
        <v>22</v>
      </c>
      <c r="E52" s="69"/>
      <c r="F52" s="68" t="s">
        <v>23</v>
      </c>
    </row>
    <row r="53" spans="1:6" ht="34.5" customHeight="1" x14ac:dyDescent="0.3">
      <c r="A53" s="70" t="s">
        <v>24</v>
      </c>
      <c r="B53" s="294" t="s">
        <v>120</v>
      </c>
      <c r="C53" s="71"/>
      <c r="D53" s="293">
        <v>42298</v>
      </c>
      <c r="E53" s="61"/>
      <c r="F53" s="72"/>
    </row>
    <row r="54" spans="1:6" ht="34.5" customHeight="1" x14ac:dyDescent="0.3">
      <c r="A54" s="70" t="s">
        <v>25</v>
      </c>
      <c r="B54" s="73"/>
      <c r="C54" s="74"/>
      <c r="D54" s="73"/>
      <c r="E54" s="61"/>
      <c r="F54" s="75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6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5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4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3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2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1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0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9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8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7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6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5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4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3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2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1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0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9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8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7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6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49" zoomScale="60" zoomScaleNormal="40" zoomScalePageLayoutView="50" workbookViewId="0">
      <selection activeCell="D60" sqref="D60:D6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08" t="s">
        <v>40</v>
      </c>
      <c r="B1" s="308"/>
      <c r="C1" s="308"/>
      <c r="D1" s="308"/>
      <c r="E1" s="308"/>
      <c r="F1" s="308"/>
      <c r="G1" s="308"/>
      <c r="H1" s="308"/>
      <c r="I1" s="308"/>
    </row>
    <row r="2" spans="1:9" ht="18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</row>
    <row r="3" spans="1:9" ht="18.75" customHeight="1" x14ac:dyDescent="0.25">
      <c r="A3" s="308"/>
      <c r="B3" s="308"/>
      <c r="C3" s="308"/>
      <c r="D3" s="308"/>
      <c r="E3" s="308"/>
      <c r="F3" s="308"/>
      <c r="G3" s="308"/>
      <c r="H3" s="308"/>
      <c r="I3" s="308"/>
    </row>
    <row r="4" spans="1:9" ht="18.75" customHeight="1" x14ac:dyDescent="0.25">
      <c r="A4" s="308"/>
      <c r="B4" s="308"/>
      <c r="C4" s="308"/>
      <c r="D4" s="308"/>
      <c r="E4" s="308"/>
      <c r="F4" s="308"/>
      <c r="G4" s="308"/>
      <c r="H4" s="308"/>
      <c r="I4" s="308"/>
    </row>
    <row r="5" spans="1:9" ht="18.75" customHeight="1" x14ac:dyDescent="0.25">
      <c r="A5" s="308"/>
      <c r="B5" s="308"/>
      <c r="C5" s="308"/>
      <c r="D5" s="308"/>
      <c r="E5" s="308"/>
      <c r="F5" s="308"/>
      <c r="G5" s="308"/>
      <c r="H5" s="308"/>
      <c r="I5" s="308"/>
    </row>
    <row r="6" spans="1:9" ht="18.75" customHeight="1" x14ac:dyDescent="0.25">
      <c r="A6" s="308"/>
      <c r="B6" s="308"/>
      <c r="C6" s="308"/>
      <c r="D6" s="308"/>
      <c r="E6" s="308"/>
      <c r="F6" s="308"/>
      <c r="G6" s="308"/>
      <c r="H6" s="308"/>
      <c r="I6" s="308"/>
    </row>
    <row r="7" spans="1:9" ht="18.75" customHeight="1" x14ac:dyDescent="0.25">
      <c r="A7" s="308"/>
      <c r="B7" s="308"/>
      <c r="C7" s="308"/>
      <c r="D7" s="308"/>
      <c r="E7" s="308"/>
      <c r="F7" s="308"/>
      <c r="G7" s="308"/>
      <c r="H7" s="308"/>
      <c r="I7" s="308"/>
    </row>
    <row r="8" spans="1:9" x14ac:dyDescent="0.25">
      <c r="A8" s="309" t="s">
        <v>41</v>
      </c>
      <c r="B8" s="309"/>
      <c r="C8" s="309"/>
      <c r="D8" s="309"/>
      <c r="E8" s="309"/>
      <c r="F8" s="309"/>
      <c r="G8" s="309"/>
      <c r="H8" s="309"/>
      <c r="I8" s="309"/>
    </row>
    <row r="9" spans="1:9" x14ac:dyDescent="0.25">
      <c r="A9" s="309"/>
      <c r="B9" s="309"/>
      <c r="C9" s="309"/>
      <c r="D9" s="309"/>
      <c r="E9" s="309"/>
      <c r="F9" s="309"/>
      <c r="G9" s="309"/>
      <c r="H9" s="309"/>
      <c r="I9" s="309"/>
    </row>
    <row r="10" spans="1:9" x14ac:dyDescent="0.25">
      <c r="A10" s="309"/>
      <c r="B10" s="309"/>
      <c r="C10" s="309"/>
      <c r="D10" s="309"/>
      <c r="E10" s="309"/>
      <c r="F10" s="309"/>
      <c r="G10" s="309"/>
      <c r="H10" s="309"/>
      <c r="I10" s="309"/>
    </row>
    <row r="11" spans="1:9" x14ac:dyDescent="0.25">
      <c r="A11" s="309"/>
      <c r="B11" s="309"/>
      <c r="C11" s="309"/>
      <c r="D11" s="309"/>
      <c r="E11" s="309"/>
      <c r="F11" s="309"/>
      <c r="G11" s="309"/>
      <c r="H11" s="309"/>
      <c r="I11" s="309"/>
    </row>
    <row r="12" spans="1:9" x14ac:dyDescent="0.25">
      <c r="A12" s="309"/>
      <c r="B12" s="309"/>
      <c r="C12" s="309"/>
      <c r="D12" s="309"/>
      <c r="E12" s="309"/>
      <c r="F12" s="309"/>
      <c r="G12" s="309"/>
      <c r="H12" s="309"/>
      <c r="I12" s="309"/>
    </row>
    <row r="13" spans="1:9" x14ac:dyDescent="0.25">
      <c r="A13" s="309"/>
      <c r="B13" s="309"/>
      <c r="C13" s="309"/>
      <c r="D13" s="309"/>
      <c r="E13" s="309"/>
      <c r="F13" s="309"/>
      <c r="G13" s="309"/>
      <c r="H13" s="309"/>
      <c r="I13" s="309"/>
    </row>
    <row r="14" spans="1:9" x14ac:dyDescent="0.25">
      <c r="A14" s="309"/>
      <c r="B14" s="309"/>
      <c r="C14" s="309"/>
      <c r="D14" s="309"/>
      <c r="E14" s="309"/>
      <c r="F14" s="309"/>
      <c r="G14" s="309"/>
      <c r="H14" s="309"/>
      <c r="I14" s="309"/>
    </row>
    <row r="15" spans="1:9" ht="19.5" customHeight="1" x14ac:dyDescent="0.3">
      <c r="A15" s="97"/>
    </row>
    <row r="16" spans="1:9" ht="19.5" customHeight="1" x14ac:dyDescent="0.3">
      <c r="A16" s="341" t="s">
        <v>26</v>
      </c>
      <c r="B16" s="342"/>
      <c r="C16" s="342"/>
      <c r="D16" s="342"/>
      <c r="E16" s="342"/>
      <c r="F16" s="342"/>
      <c r="G16" s="342"/>
      <c r="H16" s="343"/>
    </row>
    <row r="17" spans="1:14" ht="20.25" customHeight="1" x14ac:dyDescent="0.25">
      <c r="A17" s="344" t="s">
        <v>42</v>
      </c>
      <c r="B17" s="344"/>
      <c r="C17" s="344"/>
      <c r="D17" s="344"/>
      <c r="E17" s="344"/>
      <c r="F17" s="344"/>
      <c r="G17" s="344"/>
      <c r="H17" s="344"/>
    </row>
    <row r="18" spans="1:14" ht="26.25" customHeight="1" x14ac:dyDescent="0.4">
      <c r="A18" s="99" t="s">
        <v>28</v>
      </c>
      <c r="B18" s="340" t="s">
        <v>121</v>
      </c>
      <c r="C18" s="340"/>
      <c r="D18" s="268"/>
      <c r="E18" s="100"/>
      <c r="F18" s="101"/>
      <c r="G18" s="101"/>
      <c r="H18" s="101"/>
    </row>
    <row r="19" spans="1:14" ht="26.25" customHeight="1" x14ac:dyDescent="0.4">
      <c r="A19" s="99" t="s">
        <v>29</v>
      </c>
      <c r="B19" s="102" t="str">
        <f>Uniformity!C15</f>
        <v>NDQD201508203</v>
      </c>
      <c r="C19" s="270">
        <v>21</v>
      </c>
      <c r="D19" s="101"/>
      <c r="E19" s="101"/>
      <c r="F19" s="101"/>
      <c r="G19" s="101"/>
      <c r="H19" s="101"/>
    </row>
    <row r="20" spans="1:14" ht="26.25" customHeight="1" x14ac:dyDescent="0.4">
      <c r="A20" s="99" t="s">
        <v>30</v>
      </c>
      <c r="B20" s="345" t="s">
        <v>129</v>
      </c>
      <c r="C20" s="345"/>
      <c r="D20" s="101"/>
      <c r="E20" s="101"/>
      <c r="F20" s="101"/>
      <c r="G20" s="101"/>
      <c r="H20" s="101"/>
    </row>
    <row r="21" spans="1:14" ht="26.25" customHeight="1" x14ac:dyDescent="0.4">
      <c r="A21" s="99" t="s">
        <v>31</v>
      </c>
      <c r="B21" s="345" t="str">
        <f>Uniformity!C17</f>
        <v>Each bilayered tablet contains Artesunate 25 mg &amp; Amodiaquine HCl 67.5mg</v>
      </c>
      <c r="C21" s="345"/>
      <c r="D21" s="345"/>
      <c r="E21" s="345"/>
      <c r="F21" s="345"/>
      <c r="G21" s="345"/>
      <c r="H21" s="345"/>
      <c r="I21" s="103"/>
    </row>
    <row r="22" spans="1:14" ht="26.25" customHeight="1" x14ac:dyDescent="0.4">
      <c r="A22" s="99" t="s">
        <v>32</v>
      </c>
      <c r="B22" s="104">
        <f>Uniformity!C18</f>
        <v>42312</v>
      </c>
      <c r="C22" s="101"/>
      <c r="D22" s="101"/>
      <c r="E22" s="101"/>
      <c r="F22" s="101"/>
      <c r="G22" s="101"/>
      <c r="H22" s="101"/>
    </row>
    <row r="23" spans="1:14" ht="26.25" customHeight="1" x14ac:dyDescent="0.4">
      <c r="A23" s="99" t="s">
        <v>33</v>
      </c>
      <c r="B23" s="104">
        <f>Uniformity!C19</f>
        <v>42338</v>
      </c>
      <c r="C23" s="101"/>
      <c r="D23" s="101"/>
      <c r="E23" s="101"/>
      <c r="F23" s="101"/>
      <c r="G23" s="101"/>
      <c r="H23" s="101"/>
    </row>
    <row r="24" spans="1:14" ht="18.75" x14ac:dyDescent="0.3">
      <c r="A24" s="99"/>
      <c r="B24" s="105"/>
    </row>
    <row r="25" spans="1:14" ht="18.75" x14ac:dyDescent="0.3">
      <c r="A25" s="106" t="s">
        <v>1</v>
      </c>
      <c r="B25" s="105"/>
    </row>
    <row r="26" spans="1:14" ht="26.25" customHeight="1" x14ac:dyDescent="0.4">
      <c r="A26" s="107" t="s">
        <v>4</v>
      </c>
      <c r="B26" s="340" t="s">
        <v>126</v>
      </c>
      <c r="C26" s="340"/>
    </row>
    <row r="27" spans="1:14" ht="26.25" customHeight="1" x14ac:dyDescent="0.4">
      <c r="A27" s="108" t="s">
        <v>43</v>
      </c>
      <c r="B27" s="337" t="s">
        <v>127</v>
      </c>
      <c r="C27" s="337"/>
    </row>
    <row r="28" spans="1:14" ht="27" customHeight="1" x14ac:dyDescent="0.4">
      <c r="A28" s="108" t="s">
        <v>5</v>
      </c>
      <c r="B28" s="109">
        <v>99.9</v>
      </c>
    </row>
    <row r="29" spans="1:14" s="14" customFormat="1" ht="27" customHeight="1" x14ac:dyDescent="0.4">
      <c r="A29" s="108" t="s">
        <v>44</v>
      </c>
      <c r="B29" s="110">
        <v>0</v>
      </c>
      <c r="C29" s="316" t="s">
        <v>45</v>
      </c>
      <c r="D29" s="317"/>
      <c r="E29" s="317"/>
      <c r="F29" s="317"/>
      <c r="G29" s="318"/>
      <c r="I29" s="111"/>
      <c r="J29" s="111"/>
      <c r="K29" s="111"/>
      <c r="L29" s="111"/>
    </row>
    <row r="30" spans="1:14" s="14" customFormat="1" ht="19.5" customHeight="1" x14ac:dyDescent="0.4">
      <c r="A30" s="108" t="s">
        <v>46</v>
      </c>
      <c r="B30" s="297">
        <f>B28-B29</f>
        <v>99.9</v>
      </c>
      <c r="C30" s="113"/>
      <c r="D30" s="113"/>
      <c r="E30" s="113"/>
      <c r="F30" s="113"/>
      <c r="G30" s="114"/>
      <c r="I30" s="111"/>
      <c r="J30" s="111"/>
      <c r="K30" s="111"/>
      <c r="L30" s="111"/>
    </row>
    <row r="31" spans="1:14" s="14" customFormat="1" ht="27" customHeight="1" x14ac:dyDescent="0.4">
      <c r="A31" s="108" t="s">
        <v>47</v>
      </c>
      <c r="B31" s="115">
        <f>B32-35.5-35.5-2</f>
        <v>355.79</v>
      </c>
      <c r="C31" s="319" t="s">
        <v>48</v>
      </c>
      <c r="D31" s="320"/>
      <c r="E31" s="320"/>
      <c r="F31" s="320"/>
      <c r="G31" s="320"/>
      <c r="H31" s="321"/>
      <c r="I31" s="111"/>
      <c r="J31" s="111"/>
      <c r="K31" s="111"/>
      <c r="L31" s="111"/>
    </row>
    <row r="32" spans="1:14" s="14" customFormat="1" ht="27" customHeight="1" x14ac:dyDescent="0.4">
      <c r="A32" s="108" t="s">
        <v>49</v>
      </c>
      <c r="B32" s="115">
        <v>428.79</v>
      </c>
      <c r="C32" s="319" t="s">
        <v>50</v>
      </c>
      <c r="D32" s="320"/>
      <c r="E32" s="320"/>
      <c r="F32" s="320"/>
      <c r="G32" s="320"/>
      <c r="H32" s="321"/>
      <c r="I32" s="111"/>
      <c r="J32" s="111"/>
      <c r="K32" s="111"/>
      <c r="L32" s="116"/>
      <c r="M32" s="116"/>
      <c r="N32" s="117"/>
    </row>
    <row r="33" spans="1:14" s="14" customFormat="1" ht="17.25" customHeight="1" x14ac:dyDescent="0.3">
      <c r="A33" s="108"/>
      <c r="B33" s="118"/>
      <c r="C33" s="119"/>
      <c r="D33" s="119"/>
      <c r="E33" s="119"/>
      <c r="F33" s="119"/>
      <c r="G33" s="119"/>
      <c r="H33" s="119"/>
      <c r="I33" s="111"/>
      <c r="J33" s="111"/>
      <c r="K33" s="111"/>
      <c r="L33" s="116"/>
      <c r="M33" s="116"/>
      <c r="N33" s="117"/>
    </row>
    <row r="34" spans="1:14" s="14" customFormat="1" ht="18.75" x14ac:dyDescent="0.3">
      <c r="A34" s="108" t="s">
        <v>51</v>
      </c>
      <c r="B34" s="120">
        <f>B31/B32</f>
        <v>0.82975349238555007</v>
      </c>
      <c r="C34" s="98" t="s">
        <v>52</v>
      </c>
      <c r="D34" s="98"/>
      <c r="E34" s="98"/>
      <c r="F34" s="98"/>
      <c r="G34" s="98"/>
      <c r="I34" s="111"/>
      <c r="J34" s="111"/>
      <c r="K34" s="111"/>
      <c r="L34" s="116"/>
      <c r="M34" s="116"/>
      <c r="N34" s="117"/>
    </row>
    <row r="35" spans="1:14" s="14" customFormat="1" ht="19.5" customHeight="1" x14ac:dyDescent="0.3">
      <c r="A35" s="108"/>
      <c r="B35" s="112"/>
      <c r="G35" s="98"/>
      <c r="I35" s="111"/>
      <c r="J35" s="111"/>
      <c r="K35" s="111"/>
      <c r="L35" s="116"/>
      <c r="M35" s="116"/>
      <c r="N35" s="117"/>
    </row>
    <row r="36" spans="1:14" s="14" customFormat="1" ht="27" customHeight="1" x14ac:dyDescent="0.4">
      <c r="A36" s="121" t="s">
        <v>53</v>
      </c>
      <c r="B36" s="122">
        <v>25</v>
      </c>
      <c r="C36" s="98"/>
      <c r="D36" s="322" t="s">
        <v>54</v>
      </c>
      <c r="E36" s="339"/>
      <c r="F36" s="322" t="s">
        <v>55</v>
      </c>
      <c r="G36" s="323"/>
      <c r="J36" s="111"/>
      <c r="K36" s="111"/>
      <c r="L36" s="116"/>
      <c r="M36" s="116"/>
      <c r="N36" s="117"/>
    </row>
    <row r="37" spans="1:14" s="14" customFormat="1" ht="27" customHeight="1" x14ac:dyDescent="0.4">
      <c r="A37" s="123" t="s">
        <v>56</v>
      </c>
      <c r="B37" s="124">
        <v>4</v>
      </c>
      <c r="C37" s="125" t="s">
        <v>57</v>
      </c>
      <c r="D37" s="126" t="s">
        <v>58</v>
      </c>
      <c r="E37" s="127" t="s">
        <v>59</v>
      </c>
      <c r="F37" s="126" t="s">
        <v>58</v>
      </c>
      <c r="G37" s="128" t="s">
        <v>59</v>
      </c>
      <c r="I37" s="129" t="s">
        <v>60</v>
      </c>
      <c r="J37" s="111"/>
      <c r="K37" s="111"/>
      <c r="L37" s="116"/>
      <c r="M37" s="116"/>
      <c r="N37" s="117"/>
    </row>
    <row r="38" spans="1:14" s="14" customFormat="1" ht="26.25" customHeight="1" x14ac:dyDescent="0.4">
      <c r="A38" s="123" t="s">
        <v>61</v>
      </c>
      <c r="B38" s="124">
        <v>10</v>
      </c>
      <c r="C38" s="130">
        <v>1</v>
      </c>
      <c r="D38" s="124">
        <v>38974763</v>
      </c>
      <c r="E38" s="132">
        <f>IF(ISBLANK(D38),"-",$D$48/$D$45*D38)</f>
        <v>36101439.417377517</v>
      </c>
      <c r="F38" s="131">
        <v>32978005</v>
      </c>
      <c r="G38" s="133">
        <f>IF(ISBLANK(F38),"-",$D$48/$F$45*F38)</f>
        <v>35906249.299259871</v>
      </c>
      <c r="I38" s="134"/>
      <c r="J38" s="111"/>
      <c r="K38" s="111"/>
      <c r="L38" s="116"/>
      <c r="M38" s="116"/>
      <c r="N38" s="117"/>
    </row>
    <row r="39" spans="1:14" s="14" customFormat="1" ht="26.25" customHeight="1" x14ac:dyDescent="0.4">
      <c r="A39" s="123" t="s">
        <v>62</v>
      </c>
      <c r="B39" s="124">
        <v>1</v>
      </c>
      <c r="C39" s="135">
        <v>2</v>
      </c>
      <c r="D39" s="124">
        <v>38942886</v>
      </c>
      <c r="E39" s="137">
        <f>IF(ISBLANK(D39),"-",$D$48/$D$45*D39)</f>
        <v>36071912.474922277</v>
      </c>
      <c r="F39" s="136">
        <v>33132868</v>
      </c>
      <c r="G39" s="138">
        <f>IF(ISBLANK(F39),"-",$D$48/$F$45*F39)</f>
        <v>36074863.182520285</v>
      </c>
      <c r="I39" s="324">
        <f>ABS((F43/D43*D42)-F42)/D42</f>
        <v>5.0414403033867562E-3</v>
      </c>
      <c r="J39" s="111"/>
      <c r="K39" s="111"/>
      <c r="L39" s="116"/>
      <c r="M39" s="116"/>
      <c r="N39" s="117"/>
    </row>
    <row r="40" spans="1:14" ht="26.25" customHeight="1" x14ac:dyDescent="0.4">
      <c r="A40" s="123" t="s">
        <v>63</v>
      </c>
      <c r="B40" s="124">
        <v>1</v>
      </c>
      <c r="C40" s="135">
        <v>3</v>
      </c>
      <c r="D40" s="124">
        <v>39534388</v>
      </c>
      <c r="E40" s="137">
        <f>IF(ISBLANK(D40),"-",$D$48/$D$45*D40)</f>
        <v>36619807.368298732</v>
      </c>
      <c r="F40" s="136">
        <v>33217805</v>
      </c>
      <c r="G40" s="138">
        <f>IF(ISBLANK(F40),"-",$D$48/$F$45*F40)</f>
        <v>36167342.066453114</v>
      </c>
      <c r="I40" s="324"/>
      <c r="L40" s="116"/>
      <c r="M40" s="116"/>
      <c r="N40" s="139"/>
    </row>
    <row r="41" spans="1:14" ht="27" customHeight="1" x14ac:dyDescent="0.4">
      <c r="A41" s="123" t="s">
        <v>64</v>
      </c>
      <c r="B41" s="124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6"/>
      <c r="M41" s="116"/>
      <c r="N41" s="139"/>
    </row>
    <row r="42" spans="1:14" ht="27" customHeight="1" x14ac:dyDescent="0.4">
      <c r="A42" s="123" t="s">
        <v>65</v>
      </c>
      <c r="B42" s="124">
        <v>1</v>
      </c>
      <c r="C42" s="145" t="s">
        <v>66</v>
      </c>
      <c r="D42" s="146">
        <f>AVERAGE(D38:D41)</f>
        <v>39150679</v>
      </c>
      <c r="E42" s="147">
        <f>AVERAGE(E38:E41)</f>
        <v>36264386.420199513</v>
      </c>
      <c r="F42" s="146">
        <f>AVERAGE(F38:F41)</f>
        <v>33109559.333333332</v>
      </c>
      <c r="G42" s="148">
        <f>AVERAGE(G38:G41)</f>
        <v>36049484.849411093</v>
      </c>
      <c r="H42" s="149"/>
    </row>
    <row r="43" spans="1:14" ht="26.25" customHeight="1" x14ac:dyDescent="0.4">
      <c r="A43" s="123" t="s">
        <v>67</v>
      </c>
      <c r="B43" s="124">
        <v>1</v>
      </c>
      <c r="C43" s="150" t="s">
        <v>68</v>
      </c>
      <c r="D43" s="151">
        <v>16.28</v>
      </c>
      <c r="E43" s="139"/>
      <c r="F43" s="151">
        <v>13.85</v>
      </c>
      <c r="H43" s="149"/>
    </row>
    <row r="44" spans="1:14" ht="26.25" customHeight="1" x14ac:dyDescent="0.4">
      <c r="A44" s="123" t="s">
        <v>69</v>
      </c>
      <c r="B44" s="124">
        <v>1</v>
      </c>
      <c r="C44" s="152" t="s">
        <v>70</v>
      </c>
      <c r="D44" s="153">
        <f>D43*$B$34</f>
        <v>13.508386856036756</v>
      </c>
      <c r="E44" s="154"/>
      <c r="F44" s="153">
        <f>F43*$B$34</f>
        <v>11.492085869539869</v>
      </c>
      <c r="H44" s="149"/>
    </row>
    <row r="45" spans="1:14" ht="19.5" customHeight="1" x14ac:dyDescent="0.3">
      <c r="A45" s="123" t="s">
        <v>71</v>
      </c>
      <c r="B45" s="155">
        <f>(B44/B43)*(B42/B41)*(B40/B39)*(B38/B37)*B36</f>
        <v>62.5</v>
      </c>
      <c r="C45" s="152" t="s">
        <v>72</v>
      </c>
      <c r="D45" s="156">
        <f>D44*$B$30/100</f>
        <v>13.494878469180719</v>
      </c>
      <c r="E45" s="157"/>
      <c r="F45" s="156">
        <f>F44*$B$30/100</f>
        <v>11.480593783670329</v>
      </c>
      <c r="H45" s="149"/>
    </row>
    <row r="46" spans="1:14" ht="19.5" customHeight="1" x14ac:dyDescent="0.3">
      <c r="A46" s="310" t="s">
        <v>73</v>
      </c>
      <c r="B46" s="311"/>
      <c r="C46" s="152" t="s">
        <v>74</v>
      </c>
      <c r="D46" s="158">
        <f>D45/$B$45</f>
        <v>0.2159180555068915</v>
      </c>
      <c r="E46" s="159"/>
      <c r="F46" s="160">
        <f>F45/$B$45</f>
        <v>0.18368950053872526</v>
      </c>
      <c r="H46" s="149"/>
    </row>
    <row r="47" spans="1:14" ht="27" customHeight="1" x14ac:dyDescent="0.4">
      <c r="A47" s="312"/>
      <c r="B47" s="313"/>
      <c r="C47" s="161" t="s">
        <v>75</v>
      </c>
      <c r="D47" s="162">
        <v>0.2</v>
      </c>
      <c r="E47" s="163"/>
      <c r="F47" s="159"/>
      <c r="H47" s="149"/>
    </row>
    <row r="48" spans="1:14" ht="18.75" x14ac:dyDescent="0.3">
      <c r="C48" s="164" t="s">
        <v>76</v>
      </c>
      <c r="D48" s="156">
        <f>D47*$B$45</f>
        <v>12.5</v>
      </c>
      <c r="F48" s="165"/>
      <c r="H48" s="149"/>
    </row>
    <row r="49" spans="1:12" ht="19.5" customHeight="1" x14ac:dyDescent="0.3">
      <c r="C49" s="166" t="s">
        <v>77</v>
      </c>
      <c r="D49" s="167">
        <f>D48/B34</f>
        <v>15.064715140953933</v>
      </c>
      <c r="F49" s="165"/>
      <c r="H49" s="149"/>
    </row>
    <row r="50" spans="1:12" ht="18.75" x14ac:dyDescent="0.3">
      <c r="C50" s="121" t="s">
        <v>78</v>
      </c>
      <c r="D50" s="168">
        <f>AVERAGE(E38:E41,G38:G41)</f>
        <v>36156935.634805299</v>
      </c>
      <c r="F50" s="169"/>
      <c r="H50" s="149"/>
    </row>
    <row r="51" spans="1:12" ht="18.75" x14ac:dyDescent="0.3">
      <c r="C51" s="123" t="s">
        <v>79</v>
      </c>
      <c r="D51" s="170">
        <f>STDEV(E38:E41,G38:G41)/D50</f>
        <v>6.7093319236922657E-3</v>
      </c>
      <c r="F51" s="169"/>
      <c r="H51" s="149"/>
    </row>
    <row r="52" spans="1:12" ht="19.5" customHeight="1" x14ac:dyDescent="0.3">
      <c r="C52" s="171" t="s">
        <v>15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80</v>
      </c>
    </row>
    <row r="55" spans="1:12" ht="18.75" x14ac:dyDescent="0.3">
      <c r="A55" s="98" t="s">
        <v>81</v>
      </c>
      <c r="B55" s="175" t="str">
        <f>B21</f>
        <v>Each bilayered tablet contains Artesunate 25 mg &amp; Amodiaquine HCl 67.5mg</v>
      </c>
    </row>
    <row r="56" spans="1:12" ht="26.25" customHeight="1" x14ac:dyDescent="0.4">
      <c r="A56" s="176" t="s">
        <v>82</v>
      </c>
      <c r="B56" s="177">
        <v>67.5</v>
      </c>
      <c r="C56" s="98" t="str">
        <f>B20</f>
        <v>Amodiaquine</v>
      </c>
      <c r="H56" s="178"/>
    </row>
    <row r="57" spans="1:12" ht="18.75" x14ac:dyDescent="0.3">
      <c r="A57" s="175" t="s">
        <v>83</v>
      </c>
      <c r="B57" s="269">
        <f>Uniformity!C46</f>
        <v>177.49599999999998</v>
      </c>
      <c r="H57" s="178"/>
    </row>
    <row r="58" spans="1:12" ht="19.5" customHeight="1" x14ac:dyDescent="0.3">
      <c r="H58" s="178"/>
    </row>
    <row r="59" spans="1:12" s="14" customFormat="1" ht="27" customHeight="1" x14ac:dyDescent="0.4">
      <c r="A59" s="121" t="s">
        <v>84</v>
      </c>
      <c r="B59" s="122">
        <v>50</v>
      </c>
      <c r="C59" s="98"/>
      <c r="D59" s="179" t="s">
        <v>85</v>
      </c>
      <c r="E59" s="180" t="s">
        <v>57</v>
      </c>
      <c r="F59" s="180" t="s">
        <v>58</v>
      </c>
      <c r="G59" s="180" t="s">
        <v>86</v>
      </c>
      <c r="H59" s="125" t="s">
        <v>87</v>
      </c>
      <c r="L59" s="111"/>
    </row>
    <row r="60" spans="1:12" s="14" customFormat="1" ht="26.25" customHeight="1" x14ac:dyDescent="0.4">
      <c r="A60" s="123" t="s">
        <v>88</v>
      </c>
      <c r="B60" s="124">
        <v>4</v>
      </c>
      <c r="C60" s="327" t="s">
        <v>89</v>
      </c>
      <c r="D60" s="330">
        <v>178.54</v>
      </c>
      <c r="E60" s="181">
        <v>1</v>
      </c>
      <c r="F60" s="182">
        <v>41844030</v>
      </c>
      <c r="G60" s="271">
        <f>IF(ISBLANK(F60),"-",(F60/$D$50*$D$47*$B$68)*($B$57/$D$60))</f>
        <v>71.907625170956877</v>
      </c>
      <c r="H60" s="183">
        <f>IF(ISBLANK(F60),"-",G60/$B$56)</f>
        <v>1.0652981506808425</v>
      </c>
      <c r="L60" s="111"/>
    </row>
    <row r="61" spans="1:12" s="14" customFormat="1" ht="26.25" customHeight="1" x14ac:dyDescent="0.4">
      <c r="A61" s="123" t="s">
        <v>90</v>
      </c>
      <c r="B61" s="124">
        <v>25</v>
      </c>
      <c r="C61" s="328"/>
      <c r="D61" s="331"/>
      <c r="E61" s="184">
        <v>2</v>
      </c>
      <c r="F61" s="136">
        <v>41128402</v>
      </c>
      <c r="G61" s="272">
        <f>IF(ISBLANK(F61),"-",(F61/$D$50*$D$47*$B$68)*($B$57/$D$60))</f>
        <v>70.677841376569901</v>
      </c>
      <c r="H61" s="185">
        <f t="shared" ref="H61:H71" si="0">IF(ISBLANK(F61),"-",G61/$B$56)</f>
        <v>1.0470791315047392</v>
      </c>
      <c r="L61" s="111"/>
    </row>
    <row r="62" spans="1:12" s="14" customFormat="1" ht="26.25" customHeight="1" x14ac:dyDescent="0.4">
      <c r="A62" s="123" t="s">
        <v>91</v>
      </c>
      <c r="B62" s="124">
        <v>1</v>
      </c>
      <c r="C62" s="328"/>
      <c r="D62" s="331"/>
      <c r="E62" s="184">
        <v>3</v>
      </c>
      <c r="F62" s="186">
        <v>42284749</v>
      </c>
      <c r="G62" s="272">
        <f>IF(ISBLANK(F62),"-",(F62/$D$50*$D$47*$B$68)*($B$57/$D$60))</f>
        <v>72.664986654965915</v>
      </c>
      <c r="H62" s="185">
        <f t="shared" si="0"/>
        <v>1.0765183208143099</v>
      </c>
      <c r="L62" s="111"/>
    </row>
    <row r="63" spans="1:12" ht="27" customHeight="1" x14ac:dyDescent="0.4">
      <c r="A63" s="123" t="s">
        <v>92</v>
      </c>
      <c r="B63" s="124">
        <v>1</v>
      </c>
      <c r="C63" s="338"/>
      <c r="D63" s="332"/>
      <c r="E63" s="187">
        <v>4</v>
      </c>
      <c r="F63" s="188"/>
      <c r="G63" s="272" t="str">
        <f>IF(ISBLANK(F63),"-",(F63/$D$50*$D$47*$B$68)*($B$57/$D$60))</f>
        <v>-</v>
      </c>
      <c r="H63" s="185" t="str">
        <f t="shared" si="0"/>
        <v>-</v>
      </c>
    </row>
    <row r="64" spans="1:12" ht="26.25" customHeight="1" x14ac:dyDescent="0.4">
      <c r="A64" s="123" t="s">
        <v>93</v>
      </c>
      <c r="B64" s="124">
        <v>1</v>
      </c>
      <c r="C64" s="327" t="s">
        <v>94</v>
      </c>
      <c r="D64" s="330">
        <v>177.98</v>
      </c>
      <c r="E64" s="181">
        <v>1</v>
      </c>
      <c r="F64" s="182">
        <v>42156266</v>
      </c>
      <c r="G64" s="273">
        <f>IF(ISBLANK(F64),"-",(F64/$D$50*$D$47*$B$68)*($B$57/$D$64))</f>
        <v>72.672132660594613</v>
      </c>
      <c r="H64" s="189">
        <f>IF(ISBLANK(F64),"-",G64/$B$56)</f>
        <v>1.0766241875643647</v>
      </c>
    </row>
    <row r="65" spans="1:8" ht="26.25" customHeight="1" x14ac:dyDescent="0.4">
      <c r="A65" s="123" t="s">
        <v>95</v>
      </c>
      <c r="B65" s="124">
        <v>1</v>
      </c>
      <c r="C65" s="328"/>
      <c r="D65" s="331"/>
      <c r="E65" s="184">
        <v>2</v>
      </c>
      <c r="F65" s="136">
        <v>41626964</v>
      </c>
      <c r="G65" s="274">
        <f>IF(ISBLANK(F65),"-",(F65/$D$50*$D$47*$B$68)*($B$57/$D$64))</f>
        <v>71.759682180243317</v>
      </c>
      <c r="H65" s="190">
        <f t="shared" si="0"/>
        <v>1.0631064026702715</v>
      </c>
    </row>
    <row r="66" spans="1:8" ht="26.25" customHeight="1" x14ac:dyDescent="0.4">
      <c r="A66" s="123" t="s">
        <v>96</v>
      </c>
      <c r="B66" s="124">
        <v>1</v>
      </c>
      <c r="C66" s="328"/>
      <c r="D66" s="331"/>
      <c r="E66" s="184">
        <v>3</v>
      </c>
      <c r="F66" s="136">
        <v>41673174</v>
      </c>
      <c r="G66" s="274">
        <f>IF(ISBLANK(F66),"-",(F66/$D$50*$D$47*$B$68)*($B$57/$D$64))</f>
        <v>71.839342443565641</v>
      </c>
      <c r="H66" s="190">
        <f t="shared" si="0"/>
        <v>1.0642865547194911</v>
      </c>
    </row>
    <row r="67" spans="1:8" ht="27" customHeight="1" x14ac:dyDescent="0.4">
      <c r="A67" s="123" t="s">
        <v>97</v>
      </c>
      <c r="B67" s="124">
        <v>1</v>
      </c>
      <c r="C67" s="338"/>
      <c r="D67" s="332"/>
      <c r="E67" s="187">
        <v>4</v>
      </c>
      <c r="F67" s="188"/>
      <c r="G67" s="275" t="str">
        <f>IF(ISBLANK(F67),"-",(F67/$D$50*$D$47*$B$68)*($B$57/$D$64))</f>
        <v>-</v>
      </c>
      <c r="H67" s="191" t="str">
        <f t="shared" si="0"/>
        <v>-</v>
      </c>
    </row>
    <row r="68" spans="1:8" ht="26.25" customHeight="1" x14ac:dyDescent="0.4">
      <c r="A68" s="123" t="s">
        <v>98</v>
      </c>
      <c r="B68" s="192">
        <f>(B67/B66)*(B65/B64)*(B63/B62)*(B61/B60)*B59</f>
        <v>312.5</v>
      </c>
      <c r="C68" s="327" t="s">
        <v>99</v>
      </c>
      <c r="D68" s="330">
        <v>178.6</v>
      </c>
      <c r="E68" s="181">
        <v>1</v>
      </c>
      <c r="F68" s="182">
        <v>41305427</v>
      </c>
      <c r="G68" s="273">
        <f>IF(ISBLANK(F68),"-",(F68/$D$50*$D$47*$B$68)*($B$57/$D$68))</f>
        <v>70.958207013972597</v>
      </c>
      <c r="H68" s="185">
        <f>IF(ISBLANK(F68),"-",G68/$B$56)</f>
        <v>1.0512326965032976</v>
      </c>
    </row>
    <row r="69" spans="1:8" ht="27" customHeight="1" x14ac:dyDescent="0.4">
      <c r="A69" s="171" t="s">
        <v>100</v>
      </c>
      <c r="B69" s="193">
        <f>(D47*B68)/B56*B57</f>
        <v>164.34814814814814</v>
      </c>
      <c r="C69" s="328"/>
      <c r="D69" s="331"/>
      <c r="E69" s="184">
        <v>2</v>
      </c>
      <c r="F69" s="136">
        <v>41235834</v>
      </c>
      <c r="G69" s="274">
        <f>IF(ISBLANK(F69),"-",(F69/$D$50*$D$47*$B$68)*($B$57/$D$68))</f>
        <v>70.838653849669939</v>
      </c>
      <c r="H69" s="185">
        <f t="shared" si="0"/>
        <v>1.0494615385136288</v>
      </c>
    </row>
    <row r="70" spans="1:8" ht="26.25" customHeight="1" x14ac:dyDescent="0.4">
      <c r="A70" s="333" t="s">
        <v>73</v>
      </c>
      <c r="B70" s="334"/>
      <c r="C70" s="328"/>
      <c r="D70" s="331"/>
      <c r="E70" s="184">
        <v>3</v>
      </c>
      <c r="F70" s="136">
        <v>40882956</v>
      </c>
      <c r="G70" s="274">
        <f>IF(ISBLANK(F70),"-",(F70/$D$50*$D$47*$B$68)*($B$57/$D$68))</f>
        <v>70.232448031372101</v>
      </c>
      <c r="H70" s="185">
        <f t="shared" si="0"/>
        <v>1.040480711575883</v>
      </c>
    </row>
    <row r="71" spans="1:8" ht="27" customHeight="1" x14ac:dyDescent="0.4">
      <c r="A71" s="335"/>
      <c r="B71" s="336"/>
      <c r="C71" s="329"/>
      <c r="D71" s="332"/>
      <c r="E71" s="187">
        <v>4</v>
      </c>
      <c r="F71" s="188"/>
      <c r="G71" s="275" t="str">
        <f>IF(ISBLANK(F71),"-",(F71/$D$50*$D$47*$B$68)*($B$57/$D$68))</f>
        <v>-</v>
      </c>
      <c r="H71" s="194" t="str">
        <f t="shared" si="0"/>
        <v>-</v>
      </c>
    </row>
    <row r="72" spans="1:8" ht="26.25" customHeight="1" x14ac:dyDescent="0.4">
      <c r="A72" s="195"/>
      <c r="B72" s="195"/>
      <c r="C72" s="195"/>
      <c r="D72" s="195"/>
      <c r="E72" s="195"/>
      <c r="F72" s="196"/>
      <c r="G72" s="197" t="s">
        <v>66</v>
      </c>
      <c r="H72" s="198">
        <f>AVERAGE(H60:H71)</f>
        <v>1.0593430771718699</v>
      </c>
    </row>
    <row r="73" spans="1:8" ht="26.25" customHeight="1" x14ac:dyDescent="0.4">
      <c r="C73" s="195"/>
      <c r="D73" s="195"/>
      <c r="E73" s="195"/>
      <c r="F73" s="196"/>
      <c r="G73" s="199" t="s">
        <v>79</v>
      </c>
      <c r="H73" s="276">
        <f>STDEV(H60:H71)/H72</f>
        <v>1.2204885110838299E-2</v>
      </c>
    </row>
    <row r="74" spans="1:8" ht="27" customHeight="1" x14ac:dyDescent="0.4">
      <c r="A74" s="195"/>
      <c r="B74" s="195"/>
      <c r="C74" s="196"/>
      <c r="D74" s="196"/>
      <c r="E74" s="200"/>
      <c r="F74" s="196"/>
      <c r="G74" s="201" t="s">
        <v>15</v>
      </c>
      <c r="H74" s="202">
        <f>COUNT(H60:H71)</f>
        <v>9</v>
      </c>
    </row>
    <row r="76" spans="1:8" ht="26.25" customHeight="1" x14ac:dyDescent="0.4">
      <c r="A76" s="107" t="s">
        <v>101</v>
      </c>
      <c r="B76" s="203" t="s">
        <v>102</v>
      </c>
      <c r="C76" s="314" t="str">
        <f>B20</f>
        <v>Amodiaquine</v>
      </c>
      <c r="D76" s="314"/>
      <c r="E76" s="204" t="s">
        <v>103</v>
      </c>
      <c r="F76" s="204"/>
      <c r="G76" s="205">
        <f>H72</f>
        <v>1.0593430771718699</v>
      </c>
      <c r="H76" s="206"/>
    </row>
    <row r="77" spans="1:8" ht="18.75" x14ac:dyDescent="0.3">
      <c r="A77" s="106" t="s">
        <v>104</v>
      </c>
      <c r="B77" s="106" t="s">
        <v>105</v>
      </c>
    </row>
    <row r="78" spans="1:8" ht="18.75" x14ac:dyDescent="0.3">
      <c r="A78" s="106"/>
      <c r="B78" s="106"/>
    </row>
    <row r="79" spans="1:8" ht="26.25" customHeight="1" x14ac:dyDescent="0.4">
      <c r="A79" s="107" t="s">
        <v>4</v>
      </c>
      <c r="B79" s="337" t="str">
        <f>B26</f>
        <v>Amodiaquine HCl</v>
      </c>
      <c r="C79" s="337"/>
    </row>
    <row r="80" spans="1:8" ht="26.25" customHeight="1" x14ac:dyDescent="0.4">
      <c r="A80" s="108" t="s">
        <v>43</v>
      </c>
      <c r="B80" s="337" t="str">
        <f>B27</f>
        <v>A7 1</v>
      </c>
      <c r="C80" s="337"/>
    </row>
    <row r="81" spans="1:12" ht="27" customHeight="1" x14ac:dyDescent="0.4">
      <c r="A81" s="108" t="s">
        <v>5</v>
      </c>
      <c r="B81" s="207">
        <f>B28</f>
        <v>99.9</v>
      </c>
    </row>
    <row r="82" spans="1:12" s="14" customFormat="1" ht="27" customHeight="1" x14ac:dyDescent="0.4">
      <c r="A82" s="108" t="s">
        <v>44</v>
      </c>
      <c r="B82" s="110">
        <v>0</v>
      </c>
      <c r="C82" s="316" t="s">
        <v>45</v>
      </c>
      <c r="D82" s="317"/>
      <c r="E82" s="317"/>
      <c r="F82" s="317"/>
      <c r="G82" s="318"/>
      <c r="I82" s="111"/>
      <c r="J82" s="111"/>
      <c r="K82" s="111"/>
      <c r="L82" s="111"/>
    </row>
    <row r="83" spans="1:12" s="14" customFormat="1" ht="19.5" customHeight="1" x14ac:dyDescent="0.3">
      <c r="A83" s="108" t="s">
        <v>46</v>
      </c>
      <c r="B83" s="112">
        <f>B81-B82</f>
        <v>99.9</v>
      </c>
      <c r="C83" s="113"/>
      <c r="D83" s="113"/>
      <c r="E83" s="113"/>
      <c r="F83" s="113"/>
      <c r="G83" s="114"/>
      <c r="I83" s="111"/>
      <c r="J83" s="111"/>
      <c r="K83" s="111"/>
      <c r="L83" s="111"/>
    </row>
    <row r="84" spans="1:12" s="14" customFormat="1" ht="27" customHeight="1" x14ac:dyDescent="0.4">
      <c r="A84" s="108" t="s">
        <v>47</v>
      </c>
      <c r="B84" s="115">
        <f>B31</f>
        <v>355.79</v>
      </c>
      <c r="C84" s="319" t="s">
        <v>106</v>
      </c>
      <c r="D84" s="320"/>
      <c r="E84" s="320"/>
      <c r="F84" s="320"/>
      <c r="G84" s="320"/>
      <c r="H84" s="321"/>
      <c r="I84" s="111"/>
      <c r="J84" s="111"/>
      <c r="K84" s="111"/>
      <c r="L84" s="111"/>
    </row>
    <row r="85" spans="1:12" s="14" customFormat="1" ht="27" customHeight="1" x14ac:dyDescent="0.4">
      <c r="A85" s="108" t="s">
        <v>49</v>
      </c>
      <c r="B85" s="115">
        <f>B32</f>
        <v>428.79</v>
      </c>
      <c r="C85" s="319" t="s">
        <v>107</v>
      </c>
      <c r="D85" s="320"/>
      <c r="E85" s="320"/>
      <c r="F85" s="320"/>
      <c r="G85" s="320"/>
      <c r="H85" s="321"/>
      <c r="I85" s="111"/>
      <c r="J85" s="111"/>
      <c r="K85" s="111"/>
      <c r="L85" s="111"/>
    </row>
    <row r="86" spans="1:12" s="14" customFormat="1" ht="18.75" x14ac:dyDescent="0.3">
      <c r="A86" s="108"/>
      <c r="B86" s="118"/>
      <c r="C86" s="119"/>
      <c r="D86" s="119"/>
      <c r="E86" s="119"/>
      <c r="F86" s="119"/>
      <c r="G86" s="119"/>
      <c r="H86" s="119"/>
      <c r="I86" s="111"/>
      <c r="J86" s="111"/>
      <c r="K86" s="111"/>
      <c r="L86" s="111"/>
    </row>
    <row r="87" spans="1:12" s="14" customFormat="1" ht="18.75" x14ac:dyDescent="0.3">
      <c r="A87" s="108" t="s">
        <v>51</v>
      </c>
      <c r="B87" s="120">
        <f>B84/B85</f>
        <v>0.82975349238555007</v>
      </c>
      <c r="C87" s="98" t="s">
        <v>52</v>
      </c>
      <c r="D87" s="98"/>
      <c r="E87" s="98"/>
      <c r="F87" s="98"/>
      <c r="G87" s="98"/>
      <c r="I87" s="111"/>
      <c r="J87" s="111"/>
      <c r="K87" s="111"/>
      <c r="L87" s="111"/>
    </row>
    <row r="88" spans="1:12" ht="19.5" customHeight="1" x14ac:dyDescent="0.3">
      <c r="A88" s="106"/>
      <c r="B88" s="106"/>
    </row>
    <row r="89" spans="1:12" ht="27" customHeight="1" x14ac:dyDescent="0.4">
      <c r="A89" s="121" t="s">
        <v>53</v>
      </c>
      <c r="B89" s="122">
        <v>25</v>
      </c>
      <c r="D89" s="208" t="s">
        <v>54</v>
      </c>
      <c r="E89" s="209"/>
      <c r="F89" s="322" t="s">
        <v>55</v>
      </c>
      <c r="G89" s="323"/>
    </row>
    <row r="90" spans="1:12" ht="27" customHeight="1" x14ac:dyDescent="0.4">
      <c r="A90" s="123" t="s">
        <v>56</v>
      </c>
      <c r="B90" s="124">
        <v>3</v>
      </c>
      <c r="C90" s="210" t="s">
        <v>57</v>
      </c>
      <c r="D90" s="126" t="s">
        <v>58</v>
      </c>
      <c r="E90" s="127" t="s">
        <v>59</v>
      </c>
      <c r="F90" s="126" t="s">
        <v>58</v>
      </c>
      <c r="G90" s="211" t="s">
        <v>59</v>
      </c>
      <c r="I90" s="129" t="s">
        <v>60</v>
      </c>
    </row>
    <row r="91" spans="1:12" ht="26.25" customHeight="1" x14ac:dyDescent="0.4">
      <c r="A91" s="123" t="s">
        <v>61</v>
      </c>
      <c r="B91" s="124">
        <v>25</v>
      </c>
      <c r="C91" s="212">
        <v>1</v>
      </c>
      <c r="D91" s="281">
        <v>23809719</v>
      </c>
      <c r="E91" s="132">
        <f>IF(ISBLANK(D91),"-",$D$101/$D$98*D91)</f>
        <v>27568003.685592726</v>
      </c>
      <c r="F91" s="281">
        <v>20031957</v>
      </c>
      <c r="G91" s="133">
        <f>IF(ISBLANK(F91),"-",$D$101/$F$98*F91)</f>
        <v>27263339.686332371</v>
      </c>
      <c r="I91" s="134"/>
    </row>
    <row r="92" spans="1:12" ht="26.25" customHeight="1" x14ac:dyDescent="0.4">
      <c r="A92" s="123" t="s">
        <v>62</v>
      </c>
      <c r="B92" s="124">
        <v>1</v>
      </c>
      <c r="C92" s="196">
        <v>2</v>
      </c>
      <c r="D92" s="282">
        <v>23471687</v>
      </c>
      <c r="E92" s="137">
        <f>IF(ISBLANK(D92),"-",$D$101/$D$98*D92)</f>
        <v>27176614.46248395</v>
      </c>
      <c r="F92" s="282">
        <v>20209168</v>
      </c>
      <c r="G92" s="138">
        <f>IF(ISBLANK(F92),"-",$D$101/$F$98*F92)</f>
        <v>27504522.496836338</v>
      </c>
      <c r="I92" s="324">
        <f>ABS((F96/D96*D95)-F95)/D95</f>
        <v>6.8901079340253175E-3</v>
      </c>
    </row>
    <row r="93" spans="1:12" ht="26.25" customHeight="1" x14ac:dyDescent="0.4">
      <c r="A93" s="123" t="s">
        <v>63</v>
      </c>
      <c r="B93" s="124">
        <v>1</v>
      </c>
      <c r="C93" s="196">
        <v>3</v>
      </c>
      <c r="D93" s="282">
        <v>23469451</v>
      </c>
      <c r="E93" s="137">
        <f>IF(ISBLANK(D93),"-",$D$101/$D$98*D93)</f>
        <v>27174025.517345998</v>
      </c>
      <c r="F93" s="282">
        <v>20436735</v>
      </c>
      <c r="G93" s="138">
        <f>IF(ISBLANK(F93),"-",$D$101/$F$98*F93)</f>
        <v>27814239.436743885</v>
      </c>
      <c r="I93" s="324"/>
    </row>
    <row r="94" spans="1:12" ht="27" customHeight="1" x14ac:dyDescent="0.4">
      <c r="A94" s="123" t="s">
        <v>64</v>
      </c>
      <c r="B94" s="124">
        <v>1</v>
      </c>
      <c r="C94" s="213">
        <v>4</v>
      </c>
      <c r="D94" s="283"/>
      <c r="E94" s="142" t="str">
        <f>IF(ISBLANK(D94),"-",$D$101/$D$98*D94)</f>
        <v>-</v>
      </c>
      <c r="F94" s="284"/>
      <c r="G94" s="143" t="str">
        <f>IF(ISBLANK(F94),"-",$D$101/$F$98*F94)</f>
        <v>-</v>
      </c>
      <c r="I94" s="144"/>
    </row>
    <row r="95" spans="1:12" ht="27" customHeight="1" x14ac:dyDescent="0.4">
      <c r="A95" s="123" t="s">
        <v>65</v>
      </c>
      <c r="B95" s="124">
        <v>1</v>
      </c>
      <c r="C95" s="214" t="s">
        <v>66</v>
      </c>
      <c r="D95" s="215">
        <f>AVERAGE(D91:D94)</f>
        <v>23583619</v>
      </c>
      <c r="E95" s="147">
        <f>AVERAGE(E91:E94)</f>
        <v>27306214.555140894</v>
      </c>
      <c r="F95" s="216">
        <f>AVERAGE(F91:F94)</f>
        <v>20225953.333333332</v>
      </c>
      <c r="G95" s="217">
        <f>AVERAGE(G91:G94)</f>
        <v>27527367.206637532</v>
      </c>
    </row>
    <row r="96" spans="1:12" ht="26.25" customHeight="1" x14ac:dyDescent="0.4">
      <c r="A96" s="123" t="s">
        <v>67</v>
      </c>
      <c r="B96" s="109">
        <v>1</v>
      </c>
      <c r="C96" s="218" t="s">
        <v>108</v>
      </c>
      <c r="D96" s="219">
        <v>16.28</v>
      </c>
      <c r="E96" s="139"/>
      <c r="F96" s="151">
        <v>13.85</v>
      </c>
    </row>
    <row r="97" spans="1:10" ht="26.25" customHeight="1" x14ac:dyDescent="0.4">
      <c r="A97" s="123" t="s">
        <v>69</v>
      </c>
      <c r="B97" s="109">
        <v>1</v>
      </c>
      <c r="C97" s="220" t="s">
        <v>109</v>
      </c>
      <c r="D97" s="221">
        <f>D96*$B$87</f>
        <v>13.508386856036756</v>
      </c>
      <c r="E97" s="154"/>
      <c r="F97" s="153">
        <f>F96*$B$87</f>
        <v>11.492085869539869</v>
      </c>
    </row>
    <row r="98" spans="1:10" ht="19.5" customHeight="1" x14ac:dyDescent="0.3">
      <c r="A98" s="123" t="s">
        <v>71</v>
      </c>
      <c r="B98" s="222">
        <f>(B97/B96)*(B95/B94)*(B93/B92)*(B91/B90)*B89</f>
        <v>208.33333333333334</v>
      </c>
      <c r="C98" s="220" t="s">
        <v>110</v>
      </c>
      <c r="D98" s="223">
        <f>D97*$B$83/100</f>
        <v>13.494878469180719</v>
      </c>
      <c r="E98" s="157"/>
      <c r="F98" s="156">
        <f>F97*$B$83/100</f>
        <v>11.480593783670329</v>
      </c>
    </row>
    <row r="99" spans="1:10" ht="19.5" customHeight="1" x14ac:dyDescent="0.3">
      <c r="A99" s="310" t="s">
        <v>73</v>
      </c>
      <c r="B99" s="325"/>
      <c r="C99" s="220" t="s">
        <v>111</v>
      </c>
      <c r="D99" s="224">
        <f>D98/$B$98</f>
        <v>6.4775416652067444E-2</v>
      </c>
      <c r="E99" s="157"/>
      <c r="F99" s="160">
        <f>F98/$B$98</f>
        <v>5.5106850161617579E-2</v>
      </c>
      <c r="G99" s="225"/>
      <c r="H99" s="149"/>
    </row>
    <row r="100" spans="1:10" ht="19.5" customHeight="1" x14ac:dyDescent="0.3">
      <c r="A100" s="312"/>
      <c r="B100" s="326"/>
      <c r="C100" s="220" t="s">
        <v>75</v>
      </c>
      <c r="D100" s="226">
        <f>$B$56/$B$116</f>
        <v>7.4999999999999997E-2</v>
      </c>
      <c r="F100" s="165"/>
      <c r="G100" s="227"/>
      <c r="H100" s="149"/>
    </row>
    <row r="101" spans="1:10" ht="18.75" x14ac:dyDescent="0.3">
      <c r="C101" s="220" t="s">
        <v>76</v>
      </c>
      <c r="D101" s="221">
        <f>D100*$B$98</f>
        <v>15.625</v>
      </c>
      <c r="F101" s="165"/>
      <c r="G101" s="225"/>
      <c r="H101" s="149"/>
    </row>
    <row r="102" spans="1:10" ht="19.5" customHeight="1" x14ac:dyDescent="0.3">
      <c r="C102" s="228" t="s">
        <v>77</v>
      </c>
      <c r="D102" s="229">
        <f>D101/B34</f>
        <v>18.830893926192417</v>
      </c>
      <c r="F102" s="169"/>
      <c r="G102" s="225"/>
      <c r="H102" s="149"/>
      <c r="J102" s="230"/>
    </row>
    <row r="103" spans="1:10" ht="18.75" x14ac:dyDescent="0.3">
      <c r="C103" s="231" t="s">
        <v>112</v>
      </c>
      <c r="D103" s="232">
        <f>AVERAGE(E91:E94,G91:G94)</f>
        <v>27416790.880889211</v>
      </c>
      <c r="F103" s="169"/>
      <c r="G103" s="233"/>
      <c r="H103" s="149"/>
      <c r="J103" s="234"/>
    </row>
    <row r="104" spans="1:10" ht="18.75" x14ac:dyDescent="0.3">
      <c r="C104" s="199" t="s">
        <v>79</v>
      </c>
      <c r="D104" s="235">
        <f>STDEV(E91:E94,G91:G94)/D103</f>
        <v>9.351786877630431E-3</v>
      </c>
      <c r="F104" s="169"/>
      <c r="G104" s="225"/>
      <c r="H104" s="149"/>
      <c r="J104" s="234"/>
    </row>
    <row r="105" spans="1:10" ht="19.5" customHeight="1" x14ac:dyDescent="0.3">
      <c r="C105" s="201" t="s">
        <v>15</v>
      </c>
      <c r="D105" s="236">
        <f>COUNT(E91:E94,G91:G94)</f>
        <v>6</v>
      </c>
      <c r="F105" s="169"/>
      <c r="G105" s="225"/>
      <c r="H105" s="149"/>
      <c r="J105" s="234"/>
    </row>
    <row r="106" spans="1:10" ht="19.5" customHeight="1" x14ac:dyDescent="0.3">
      <c r="A106" s="173"/>
      <c r="B106" s="173"/>
      <c r="C106" s="173"/>
      <c r="D106" s="173"/>
      <c r="E106" s="173"/>
    </row>
    <row r="107" spans="1:10" ht="26.25" customHeight="1" x14ac:dyDescent="0.4">
      <c r="A107" s="121" t="s">
        <v>113</v>
      </c>
      <c r="B107" s="122">
        <v>900</v>
      </c>
      <c r="C107" s="237" t="s">
        <v>114</v>
      </c>
      <c r="D107" s="238" t="s">
        <v>58</v>
      </c>
      <c r="E107" s="239" t="s">
        <v>115</v>
      </c>
      <c r="F107" s="240" t="s">
        <v>116</v>
      </c>
    </row>
    <row r="108" spans="1:10" ht="26.25" customHeight="1" x14ac:dyDescent="0.4">
      <c r="A108" s="123" t="s">
        <v>117</v>
      </c>
      <c r="B108" s="124">
        <v>1</v>
      </c>
      <c r="C108" s="241">
        <v>1</v>
      </c>
      <c r="D108" s="242">
        <v>25438414</v>
      </c>
      <c r="E108" s="277">
        <f t="shared" ref="E108:E113" si="1">IF(ISBLANK(D108),"-",D108/$D$103*$D$100*$B$116)</f>
        <v>62.629246160129355</v>
      </c>
      <c r="F108" s="243">
        <f>IF(ISBLANK(D108), "-", E108/$B$56)</f>
        <v>0.92784068385376828</v>
      </c>
    </row>
    <row r="109" spans="1:10" ht="26.25" customHeight="1" x14ac:dyDescent="0.4">
      <c r="A109" s="123" t="s">
        <v>90</v>
      </c>
      <c r="B109" s="124">
        <v>1</v>
      </c>
      <c r="C109" s="241">
        <v>2</v>
      </c>
      <c r="D109" s="242">
        <v>26689227</v>
      </c>
      <c r="E109" s="278">
        <f t="shared" si="1"/>
        <v>65.708741417863962</v>
      </c>
      <c r="F109" s="244">
        <f t="shared" ref="F109:F113" si="2">IF(ISBLANK(D109), "-", E109/$B$56)</f>
        <v>0.97346283582020687</v>
      </c>
    </row>
    <row r="110" spans="1:10" ht="26.25" customHeight="1" x14ac:dyDescent="0.4">
      <c r="A110" s="123" t="s">
        <v>91</v>
      </c>
      <c r="B110" s="124">
        <v>1</v>
      </c>
      <c r="C110" s="241">
        <v>3</v>
      </c>
      <c r="D110" s="242">
        <v>25418348</v>
      </c>
      <c r="E110" s="278">
        <f t="shared" si="1"/>
        <v>62.579843769970552</v>
      </c>
      <c r="F110" s="244">
        <f>IF(ISBLANK(D110), "-", E110/$B$56)</f>
        <v>0.92710879659215628</v>
      </c>
    </row>
    <row r="111" spans="1:10" ht="26.25" customHeight="1" x14ac:dyDescent="0.4">
      <c r="A111" s="123" t="s">
        <v>92</v>
      </c>
      <c r="B111" s="124">
        <v>1</v>
      </c>
      <c r="C111" s="241">
        <v>4</v>
      </c>
      <c r="D111" s="242">
        <v>25009952</v>
      </c>
      <c r="E111" s="278">
        <f t="shared" si="1"/>
        <v>61.574374890707396</v>
      </c>
      <c r="F111" s="244">
        <f t="shared" si="2"/>
        <v>0.91221296134381324</v>
      </c>
    </row>
    <row r="112" spans="1:10" ht="26.25" customHeight="1" x14ac:dyDescent="0.4">
      <c r="A112" s="123" t="s">
        <v>93</v>
      </c>
      <c r="B112" s="124">
        <v>1</v>
      </c>
      <c r="C112" s="241">
        <v>5</v>
      </c>
      <c r="D112" s="242">
        <v>24987248</v>
      </c>
      <c r="E112" s="278">
        <f t="shared" si="1"/>
        <v>61.518477757937248</v>
      </c>
      <c r="F112" s="244">
        <f>IF(ISBLANK(D112), "-", E112/$B$56)</f>
        <v>0.91138485567314442</v>
      </c>
    </row>
    <row r="113" spans="1:10" ht="26.25" customHeight="1" x14ac:dyDescent="0.4">
      <c r="A113" s="123" t="s">
        <v>95</v>
      </c>
      <c r="B113" s="124">
        <v>1</v>
      </c>
      <c r="C113" s="245">
        <v>6</v>
      </c>
      <c r="D113" s="246">
        <v>24975356</v>
      </c>
      <c r="E113" s="279">
        <f t="shared" si="1"/>
        <v>61.489199714292852</v>
      </c>
      <c r="F113" s="247">
        <f t="shared" si="2"/>
        <v>0.91095110687841263</v>
      </c>
    </row>
    <row r="114" spans="1:10" ht="26.25" customHeight="1" x14ac:dyDescent="0.4">
      <c r="A114" s="123" t="s">
        <v>96</v>
      </c>
      <c r="B114" s="124">
        <v>1</v>
      </c>
      <c r="C114" s="241"/>
      <c r="D114" s="196"/>
      <c r="E114" s="97"/>
      <c r="F114" s="248"/>
    </row>
    <row r="115" spans="1:10" ht="26.25" customHeight="1" x14ac:dyDescent="0.4">
      <c r="A115" s="123" t="s">
        <v>97</v>
      </c>
      <c r="B115" s="124">
        <v>1</v>
      </c>
      <c r="C115" s="241"/>
      <c r="D115" s="249"/>
      <c r="E115" s="250" t="s">
        <v>66</v>
      </c>
      <c r="F115" s="251">
        <f>AVERAGE(F108:F113)</f>
        <v>0.92716020669358368</v>
      </c>
    </row>
    <row r="116" spans="1:10" ht="27" customHeight="1" x14ac:dyDescent="0.4">
      <c r="A116" s="123" t="s">
        <v>98</v>
      </c>
      <c r="B116" s="155">
        <f>(B115/B114)*(B113/B112)*(B111/B110)*(B109/B108)*B107</f>
        <v>900</v>
      </c>
      <c r="C116" s="252"/>
      <c r="D116" s="253"/>
      <c r="E116" s="214" t="s">
        <v>79</v>
      </c>
      <c r="F116" s="254">
        <f>STDEV(F108:F113)/F115</f>
        <v>2.5882869024807006E-2</v>
      </c>
      <c r="I116" s="97"/>
    </row>
    <row r="117" spans="1:10" ht="27" customHeight="1" x14ac:dyDescent="0.4">
      <c r="A117" s="310" t="s">
        <v>73</v>
      </c>
      <c r="B117" s="311"/>
      <c r="C117" s="255"/>
      <c r="D117" s="256"/>
      <c r="E117" s="257" t="s">
        <v>15</v>
      </c>
      <c r="F117" s="258">
        <f>COUNT(F108:F113)</f>
        <v>6</v>
      </c>
      <c r="I117" s="97"/>
      <c r="J117" s="234"/>
    </row>
    <row r="118" spans="1:10" ht="19.5" customHeight="1" x14ac:dyDescent="0.3">
      <c r="A118" s="312"/>
      <c r="B118" s="313"/>
      <c r="C118" s="97"/>
      <c r="D118" s="97"/>
      <c r="E118" s="97"/>
      <c r="F118" s="196"/>
      <c r="G118" s="97"/>
      <c r="H118" s="97"/>
      <c r="I118" s="97"/>
    </row>
    <row r="119" spans="1:10" ht="18.75" x14ac:dyDescent="0.3">
      <c r="A119" s="267"/>
      <c r="B119" s="119"/>
      <c r="C119" s="97"/>
      <c r="D119" s="97"/>
      <c r="E119" s="97"/>
      <c r="F119" s="196"/>
      <c r="G119" s="97"/>
      <c r="H119" s="97"/>
      <c r="I119" s="97"/>
    </row>
    <row r="120" spans="1:10" ht="26.25" customHeight="1" x14ac:dyDescent="0.4">
      <c r="A120" s="107" t="s">
        <v>101</v>
      </c>
      <c r="B120" s="203" t="s">
        <v>118</v>
      </c>
      <c r="C120" s="314" t="str">
        <f>B20</f>
        <v>Amodiaquine</v>
      </c>
      <c r="D120" s="314"/>
      <c r="E120" s="204" t="s">
        <v>119</v>
      </c>
      <c r="F120" s="204"/>
      <c r="G120" s="205">
        <f>F115</f>
        <v>0.92716020669358368</v>
      </c>
      <c r="H120" s="97"/>
      <c r="I120" s="97"/>
    </row>
    <row r="121" spans="1:10" ht="19.5" customHeight="1" x14ac:dyDescent="0.3">
      <c r="A121" s="259"/>
      <c r="B121" s="259"/>
      <c r="C121" s="260"/>
      <c r="D121" s="260"/>
      <c r="E121" s="260"/>
      <c r="F121" s="260"/>
      <c r="G121" s="260"/>
      <c r="H121" s="260"/>
    </row>
    <row r="122" spans="1:10" ht="18.75" x14ac:dyDescent="0.3">
      <c r="B122" s="315" t="s">
        <v>21</v>
      </c>
      <c r="C122" s="315"/>
      <c r="E122" s="210" t="s">
        <v>22</v>
      </c>
      <c r="F122" s="261"/>
      <c r="G122" s="315" t="s">
        <v>23</v>
      </c>
      <c r="H122" s="315"/>
    </row>
    <row r="123" spans="1:10" ht="69.95" customHeight="1" x14ac:dyDescent="0.3">
      <c r="A123" s="262" t="s">
        <v>24</v>
      </c>
      <c r="B123" s="213" t="s">
        <v>120</v>
      </c>
      <c r="C123" s="263"/>
      <c r="E123" s="296">
        <v>42339</v>
      </c>
      <c r="F123" s="97"/>
      <c r="G123" s="264"/>
      <c r="H123" s="264"/>
    </row>
    <row r="124" spans="1:10" ht="69.95" customHeight="1" x14ac:dyDescent="0.3">
      <c r="A124" s="262" t="s">
        <v>25</v>
      </c>
      <c r="B124" s="265"/>
      <c r="C124" s="265"/>
      <c r="E124" s="265"/>
      <c r="F124" s="97"/>
      <c r="G124" s="266"/>
      <c r="H124" s="266"/>
    </row>
    <row r="125" spans="1:10" ht="18.75" x14ac:dyDescent="0.3">
      <c r="A125" s="195"/>
      <c r="B125" s="195"/>
      <c r="C125" s="196"/>
      <c r="D125" s="196"/>
      <c r="E125" s="196"/>
      <c r="F125" s="200"/>
      <c r="G125" s="196"/>
      <c r="H125" s="196"/>
      <c r="I125" s="97"/>
    </row>
    <row r="126" spans="1:10" ht="18.75" x14ac:dyDescent="0.3">
      <c r="A126" s="195"/>
      <c r="B126" s="195"/>
      <c r="C126" s="196"/>
      <c r="D126" s="196"/>
      <c r="E126" s="196"/>
      <c r="F126" s="200"/>
      <c r="G126" s="196"/>
      <c r="H126" s="196"/>
      <c r="I126" s="97"/>
    </row>
    <row r="127" spans="1:10" ht="18.75" x14ac:dyDescent="0.3">
      <c r="A127" s="195"/>
      <c r="B127" s="195"/>
      <c r="C127" s="196"/>
      <c r="D127" s="196"/>
      <c r="E127" s="196"/>
      <c r="F127" s="200"/>
      <c r="G127" s="196"/>
      <c r="H127" s="196"/>
      <c r="I127" s="97"/>
    </row>
    <row r="128" spans="1:10" ht="18.75" x14ac:dyDescent="0.3">
      <c r="A128" s="195"/>
      <c r="B128" s="195"/>
      <c r="C128" s="196"/>
      <c r="D128" s="196"/>
      <c r="E128" s="196"/>
      <c r="F128" s="200"/>
      <c r="G128" s="196"/>
      <c r="H128" s="196"/>
      <c r="I128" s="97"/>
    </row>
    <row r="129" spans="1:9" ht="18.75" x14ac:dyDescent="0.3">
      <c r="A129" s="195"/>
      <c r="B129" s="195"/>
      <c r="C129" s="196"/>
      <c r="D129" s="196"/>
      <c r="E129" s="196"/>
      <c r="F129" s="200"/>
      <c r="G129" s="196"/>
      <c r="H129" s="196"/>
      <c r="I129" s="97"/>
    </row>
    <row r="130" spans="1:9" ht="18.75" x14ac:dyDescent="0.3">
      <c r="A130" s="195"/>
      <c r="B130" s="195"/>
      <c r="C130" s="196"/>
      <c r="D130" s="196"/>
      <c r="E130" s="196"/>
      <c r="F130" s="200"/>
      <c r="G130" s="196"/>
      <c r="H130" s="196"/>
      <c r="I130" s="97"/>
    </row>
    <row r="131" spans="1:9" ht="18.75" x14ac:dyDescent="0.3">
      <c r="A131" s="195"/>
      <c r="B131" s="195"/>
      <c r="C131" s="196"/>
      <c r="D131" s="196"/>
      <c r="E131" s="196"/>
      <c r="F131" s="200"/>
      <c r="G131" s="196"/>
      <c r="H131" s="196"/>
      <c r="I131" s="97"/>
    </row>
    <row r="132" spans="1:9" ht="18.75" x14ac:dyDescent="0.3">
      <c r="A132" s="195"/>
      <c r="B132" s="195"/>
      <c r="C132" s="196"/>
      <c r="D132" s="196"/>
      <c r="E132" s="196"/>
      <c r="F132" s="200"/>
      <c r="G132" s="196"/>
      <c r="H132" s="196"/>
      <c r="I132" s="97"/>
    </row>
    <row r="133" spans="1:9" ht="18.75" x14ac:dyDescent="0.3">
      <c r="A133" s="195"/>
      <c r="B133" s="195"/>
      <c r="C133" s="196"/>
      <c r="D133" s="196"/>
      <c r="E133" s="196"/>
      <c r="F133" s="200"/>
      <c r="G133" s="196"/>
      <c r="H133" s="196"/>
      <c r="I133" s="97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5" priority="1" operator="greaterThan">
      <formula>0.02</formula>
    </cfRule>
  </conditionalFormatting>
  <conditionalFormatting sqref="D51">
    <cfRule type="cellIs" dxfId="14" priority="2" operator="greaterThan">
      <formula>0.02</formula>
    </cfRule>
  </conditionalFormatting>
  <conditionalFormatting sqref="H73">
    <cfRule type="cellIs" dxfId="13" priority="3" operator="greaterThan">
      <formula>0.02</formula>
    </cfRule>
  </conditionalFormatting>
  <conditionalFormatting sqref="D104">
    <cfRule type="cellIs" dxfId="12" priority="4" operator="greaterThan">
      <formula>0.02</formula>
    </cfRule>
  </conditionalFormatting>
  <conditionalFormatting sqref="I39">
    <cfRule type="cellIs" dxfId="11" priority="5" operator="lessThanOrEqual">
      <formula>0.02</formula>
    </cfRule>
  </conditionalFormatting>
  <conditionalFormatting sqref="I39">
    <cfRule type="cellIs" dxfId="10" priority="6" operator="greaterThan">
      <formula>0.02</formula>
    </cfRule>
  </conditionalFormatting>
  <conditionalFormatting sqref="I92">
    <cfRule type="cellIs" dxfId="9" priority="7" operator="lessThanOrEqual">
      <formula>0.02</formula>
    </cfRule>
  </conditionalFormatting>
  <conditionalFormatting sqref="I92">
    <cfRule type="cellIs" dxfId="8" priority="8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2</oddHeader>
    <oddFooter>&amp;LNQCL/ADDO/014&amp;CPage &amp;P of &amp;N&amp;R&amp;D &amp;T</oddFooter>
  </headerFooter>
  <rowBreaks count="1" manualBreakCount="1">
    <brk id="12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55" zoomScale="60" zoomScaleNormal="40" zoomScalePageLayoutView="50" workbookViewId="0">
      <selection activeCell="D72" sqref="D72"/>
    </sheetView>
  </sheetViews>
  <sheetFormatPr defaultColWidth="9.140625" defaultRowHeight="13.5" x14ac:dyDescent="0.25"/>
  <cols>
    <col min="1" max="1" width="55.42578125" style="225" customWidth="1"/>
    <col min="2" max="2" width="33.7109375" style="225" customWidth="1"/>
    <col min="3" max="3" width="42.28515625" style="225" customWidth="1"/>
    <col min="4" max="4" width="30.5703125" style="225" customWidth="1"/>
    <col min="5" max="5" width="39.85546875" style="225" customWidth="1"/>
    <col min="6" max="6" width="30.7109375" style="225" customWidth="1"/>
    <col min="7" max="7" width="39.85546875" style="225" customWidth="1"/>
    <col min="8" max="8" width="30" style="225" customWidth="1"/>
    <col min="9" max="9" width="30.28515625" style="225" hidden="1" customWidth="1"/>
    <col min="10" max="10" width="30.42578125" style="225" customWidth="1"/>
    <col min="11" max="11" width="21.28515625" style="225" customWidth="1"/>
    <col min="12" max="12" width="9.140625" style="225"/>
    <col min="13" max="16384" width="9.140625" style="44"/>
  </cols>
  <sheetData>
    <row r="1" spans="1:9" ht="18.75" customHeight="1" x14ac:dyDescent="0.25">
      <c r="A1" s="308" t="s">
        <v>40</v>
      </c>
      <c r="B1" s="308"/>
      <c r="C1" s="308"/>
      <c r="D1" s="308"/>
      <c r="E1" s="308"/>
      <c r="F1" s="308"/>
      <c r="G1" s="308"/>
      <c r="H1" s="308"/>
      <c r="I1" s="308"/>
    </row>
    <row r="2" spans="1:9" ht="18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</row>
    <row r="3" spans="1:9" ht="18.75" customHeight="1" x14ac:dyDescent="0.25">
      <c r="A3" s="308"/>
      <c r="B3" s="308"/>
      <c r="C3" s="308"/>
      <c r="D3" s="308"/>
      <c r="E3" s="308"/>
      <c r="F3" s="308"/>
      <c r="G3" s="308"/>
      <c r="H3" s="308"/>
      <c r="I3" s="308"/>
    </row>
    <row r="4" spans="1:9" ht="18.75" customHeight="1" x14ac:dyDescent="0.25">
      <c r="A4" s="308"/>
      <c r="B4" s="308"/>
      <c r="C4" s="308"/>
      <c r="D4" s="308"/>
      <c r="E4" s="308"/>
      <c r="F4" s="308"/>
      <c r="G4" s="308"/>
      <c r="H4" s="308"/>
      <c r="I4" s="308"/>
    </row>
    <row r="5" spans="1:9" ht="18.75" customHeight="1" x14ac:dyDescent="0.25">
      <c r="A5" s="308"/>
      <c r="B5" s="308"/>
      <c r="C5" s="308"/>
      <c r="D5" s="308"/>
      <c r="E5" s="308"/>
      <c r="F5" s="308"/>
      <c r="G5" s="308"/>
      <c r="H5" s="308"/>
      <c r="I5" s="308"/>
    </row>
    <row r="6" spans="1:9" ht="18.75" customHeight="1" x14ac:dyDescent="0.25">
      <c r="A6" s="308"/>
      <c r="B6" s="308"/>
      <c r="C6" s="308"/>
      <c r="D6" s="308"/>
      <c r="E6" s="308"/>
      <c r="F6" s="308"/>
      <c r="G6" s="308"/>
      <c r="H6" s="308"/>
      <c r="I6" s="308"/>
    </row>
    <row r="7" spans="1:9" ht="18.75" customHeight="1" x14ac:dyDescent="0.25">
      <c r="A7" s="308"/>
      <c r="B7" s="308"/>
      <c r="C7" s="308"/>
      <c r="D7" s="308"/>
      <c r="E7" s="308"/>
      <c r="F7" s="308"/>
      <c r="G7" s="308"/>
      <c r="H7" s="308"/>
      <c r="I7" s="308"/>
    </row>
    <row r="8" spans="1:9" x14ac:dyDescent="0.25">
      <c r="A8" s="309" t="s">
        <v>41</v>
      </c>
      <c r="B8" s="309"/>
      <c r="C8" s="309"/>
      <c r="D8" s="309"/>
      <c r="E8" s="309"/>
      <c r="F8" s="309"/>
      <c r="G8" s="309"/>
      <c r="H8" s="309"/>
      <c r="I8" s="309"/>
    </row>
    <row r="9" spans="1:9" x14ac:dyDescent="0.25">
      <c r="A9" s="309"/>
      <c r="B9" s="309"/>
      <c r="C9" s="309"/>
      <c r="D9" s="309"/>
      <c r="E9" s="309"/>
      <c r="F9" s="309"/>
      <c r="G9" s="309"/>
      <c r="H9" s="309"/>
      <c r="I9" s="309"/>
    </row>
    <row r="10" spans="1:9" x14ac:dyDescent="0.25">
      <c r="A10" s="309"/>
      <c r="B10" s="309"/>
      <c r="C10" s="309"/>
      <c r="D10" s="309"/>
      <c r="E10" s="309"/>
      <c r="F10" s="309"/>
      <c r="G10" s="309"/>
      <c r="H10" s="309"/>
      <c r="I10" s="309"/>
    </row>
    <row r="11" spans="1:9" x14ac:dyDescent="0.25">
      <c r="A11" s="309"/>
      <c r="B11" s="309"/>
      <c r="C11" s="309"/>
      <c r="D11" s="309"/>
      <c r="E11" s="309"/>
      <c r="F11" s="309"/>
      <c r="G11" s="309"/>
      <c r="H11" s="309"/>
      <c r="I11" s="309"/>
    </row>
    <row r="12" spans="1:9" x14ac:dyDescent="0.25">
      <c r="A12" s="309"/>
      <c r="B12" s="309"/>
      <c r="C12" s="309"/>
      <c r="D12" s="309"/>
      <c r="E12" s="309"/>
      <c r="F12" s="309"/>
      <c r="G12" s="309"/>
      <c r="H12" s="309"/>
      <c r="I12" s="309"/>
    </row>
    <row r="13" spans="1:9" x14ac:dyDescent="0.25">
      <c r="A13" s="309"/>
      <c r="B13" s="309"/>
      <c r="C13" s="309"/>
      <c r="D13" s="309"/>
      <c r="E13" s="309"/>
      <c r="F13" s="309"/>
      <c r="G13" s="309"/>
      <c r="H13" s="309"/>
      <c r="I13" s="309"/>
    </row>
    <row r="14" spans="1:9" x14ac:dyDescent="0.25">
      <c r="A14" s="309"/>
      <c r="B14" s="309"/>
      <c r="C14" s="309"/>
      <c r="D14" s="309"/>
      <c r="E14" s="309"/>
      <c r="F14" s="309"/>
      <c r="G14" s="309"/>
      <c r="H14" s="309"/>
      <c r="I14" s="309"/>
    </row>
    <row r="15" spans="1:9" ht="19.5" customHeight="1" thickBot="1" x14ac:dyDescent="0.35">
      <c r="A15" s="204"/>
    </row>
    <row r="16" spans="1:9" ht="19.5" customHeight="1" thickBot="1" x14ac:dyDescent="0.35">
      <c r="A16" s="341" t="s">
        <v>26</v>
      </c>
      <c r="B16" s="342"/>
      <c r="C16" s="342"/>
      <c r="D16" s="342"/>
      <c r="E16" s="342"/>
      <c r="F16" s="342"/>
      <c r="G16" s="342"/>
      <c r="H16" s="343"/>
    </row>
    <row r="17" spans="1:14" ht="20.25" customHeight="1" x14ac:dyDescent="0.25">
      <c r="A17" s="344" t="s">
        <v>42</v>
      </c>
      <c r="B17" s="344"/>
      <c r="C17" s="344"/>
      <c r="D17" s="344"/>
      <c r="E17" s="344"/>
      <c r="F17" s="344"/>
      <c r="G17" s="344"/>
      <c r="H17" s="344"/>
    </row>
    <row r="18" spans="1:14" ht="26.25" customHeight="1" x14ac:dyDescent="0.4">
      <c r="A18" s="99" t="s">
        <v>28</v>
      </c>
      <c r="B18" s="340" t="s">
        <v>121</v>
      </c>
      <c r="C18" s="340"/>
      <c r="D18" s="268"/>
      <c r="E18" s="100"/>
      <c r="F18" s="101"/>
      <c r="G18" s="101"/>
      <c r="H18" s="101"/>
    </row>
    <row r="19" spans="1:14" ht="26.25" customHeight="1" x14ac:dyDescent="0.4">
      <c r="A19" s="99" t="s">
        <v>29</v>
      </c>
      <c r="B19" s="290" t="str">
        <f>Uniformity!C15</f>
        <v>NDQD201508203</v>
      </c>
      <c r="C19" s="270">
        <v>21</v>
      </c>
      <c r="D19" s="101"/>
      <c r="E19" s="101"/>
      <c r="F19" s="101"/>
      <c r="G19" s="101"/>
      <c r="H19" s="101"/>
    </row>
    <row r="20" spans="1:14" ht="26.25" customHeight="1" x14ac:dyDescent="0.4">
      <c r="A20" s="99" t="s">
        <v>30</v>
      </c>
      <c r="B20" s="345" t="s">
        <v>125</v>
      </c>
      <c r="C20" s="345"/>
      <c r="D20" s="101"/>
      <c r="E20" s="101"/>
      <c r="F20" s="101"/>
      <c r="G20" s="101"/>
      <c r="H20" s="101"/>
    </row>
    <row r="21" spans="1:14" ht="26.25" customHeight="1" x14ac:dyDescent="0.4">
      <c r="A21" s="99" t="s">
        <v>31</v>
      </c>
      <c r="B21" s="345" t="str">
        <f>Uniformity!C17</f>
        <v>Each bilayered tablet contains Artesunate 25 mg &amp; Amodiaquine HCl 67.5mg</v>
      </c>
      <c r="C21" s="345"/>
      <c r="D21" s="345"/>
      <c r="E21" s="345"/>
      <c r="F21" s="345"/>
      <c r="G21" s="345"/>
      <c r="H21" s="345"/>
      <c r="I21" s="103"/>
    </row>
    <row r="22" spans="1:14" ht="26.25" customHeight="1" x14ac:dyDescent="0.4">
      <c r="A22" s="99" t="s">
        <v>32</v>
      </c>
      <c r="B22" s="104">
        <f>Uniformity!C18</f>
        <v>42312</v>
      </c>
      <c r="C22" s="101"/>
      <c r="D22" s="101"/>
      <c r="E22" s="101"/>
      <c r="F22" s="101"/>
      <c r="G22" s="101"/>
      <c r="H22" s="101"/>
    </row>
    <row r="23" spans="1:14" ht="26.25" customHeight="1" x14ac:dyDescent="0.4">
      <c r="A23" s="99" t="s">
        <v>33</v>
      </c>
      <c r="B23" s="104">
        <f>Uniformity!C19</f>
        <v>42338</v>
      </c>
      <c r="C23" s="101"/>
      <c r="D23" s="101"/>
      <c r="E23" s="101"/>
      <c r="F23" s="101"/>
      <c r="G23" s="101"/>
      <c r="H23" s="101"/>
    </row>
    <row r="24" spans="1:14" ht="18.75" x14ac:dyDescent="0.3">
      <c r="A24" s="99"/>
      <c r="B24" s="105"/>
    </row>
    <row r="25" spans="1:14" ht="18.75" x14ac:dyDescent="0.3">
      <c r="A25" s="106" t="s">
        <v>1</v>
      </c>
      <c r="B25" s="105"/>
    </row>
    <row r="26" spans="1:14" ht="26.25" customHeight="1" x14ac:dyDescent="0.4">
      <c r="A26" s="262" t="s">
        <v>4</v>
      </c>
      <c r="B26" s="340" t="s">
        <v>125</v>
      </c>
      <c r="C26" s="340"/>
    </row>
    <row r="27" spans="1:14" ht="26.25" customHeight="1" x14ac:dyDescent="0.4">
      <c r="A27" s="214" t="s">
        <v>43</v>
      </c>
      <c r="B27" s="337" t="s">
        <v>128</v>
      </c>
      <c r="C27" s="337"/>
    </row>
    <row r="28" spans="1:14" ht="27" customHeight="1" thickBot="1" x14ac:dyDescent="0.45">
      <c r="A28" s="214" t="s">
        <v>5</v>
      </c>
      <c r="B28" s="207">
        <v>99.3</v>
      </c>
    </row>
    <row r="29" spans="1:14" s="16" customFormat="1" ht="27" customHeight="1" thickBot="1" x14ac:dyDescent="0.45">
      <c r="A29" s="214" t="s">
        <v>44</v>
      </c>
      <c r="B29" s="110">
        <v>0</v>
      </c>
      <c r="C29" s="316" t="s">
        <v>45</v>
      </c>
      <c r="D29" s="317"/>
      <c r="E29" s="317"/>
      <c r="F29" s="317"/>
      <c r="G29" s="318"/>
      <c r="I29" s="111"/>
      <c r="J29" s="111"/>
      <c r="K29" s="111"/>
      <c r="L29" s="111"/>
    </row>
    <row r="30" spans="1:14" s="16" customFormat="1" ht="19.5" customHeight="1" thickBot="1" x14ac:dyDescent="0.45">
      <c r="A30" s="214" t="s">
        <v>46</v>
      </c>
      <c r="B30" s="297">
        <f>B28-B29</f>
        <v>99.3</v>
      </c>
      <c r="C30" s="113"/>
      <c r="D30" s="113"/>
      <c r="E30" s="113"/>
      <c r="F30" s="113"/>
      <c r="G30" s="114"/>
      <c r="I30" s="111"/>
      <c r="J30" s="111"/>
      <c r="K30" s="111"/>
      <c r="L30" s="111"/>
    </row>
    <row r="31" spans="1:14" s="16" customFormat="1" ht="27" customHeight="1" thickBot="1" x14ac:dyDescent="0.45">
      <c r="A31" s="214" t="s">
        <v>47</v>
      </c>
      <c r="B31" s="115">
        <v>1</v>
      </c>
      <c r="C31" s="319" t="s">
        <v>48</v>
      </c>
      <c r="D31" s="320"/>
      <c r="E31" s="320"/>
      <c r="F31" s="320"/>
      <c r="G31" s="320"/>
      <c r="H31" s="321"/>
      <c r="I31" s="111"/>
      <c r="J31" s="111"/>
      <c r="K31" s="111"/>
      <c r="L31" s="111"/>
    </row>
    <row r="32" spans="1:14" s="16" customFormat="1" ht="27" customHeight="1" thickBot="1" x14ac:dyDescent="0.45">
      <c r="A32" s="214" t="s">
        <v>49</v>
      </c>
      <c r="B32" s="115">
        <v>1</v>
      </c>
      <c r="C32" s="319" t="s">
        <v>50</v>
      </c>
      <c r="D32" s="320"/>
      <c r="E32" s="320"/>
      <c r="F32" s="320"/>
      <c r="G32" s="320"/>
      <c r="H32" s="321"/>
      <c r="I32" s="111"/>
      <c r="J32" s="111"/>
      <c r="K32" s="111"/>
      <c r="L32" s="116"/>
      <c r="M32" s="116"/>
      <c r="N32" s="117"/>
    </row>
    <row r="33" spans="1:14" s="16" customFormat="1" ht="17.25" customHeight="1" x14ac:dyDescent="0.3">
      <c r="A33" s="214"/>
      <c r="B33" s="118"/>
      <c r="C33" s="119"/>
      <c r="D33" s="119"/>
      <c r="E33" s="119"/>
      <c r="F33" s="119"/>
      <c r="G33" s="119"/>
      <c r="H33" s="119"/>
      <c r="I33" s="111"/>
      <c r="J33" s="111"/>
      <c r="K33" s="111"/>
      <c r="L33" s="116"/>
      <c r="M33" s="116"/>
      <c r="N33" s="117"/>
    </row>
    <row r="34" spans="1:14" s="16" customFormat="1" ht="18.75" x14ac:dyDescent="0.3">
      <c r="A34" s="214" t="s">
        <v>51</v>
      </c>
      <c r="B34" s="120">
        <f>B31/B32</f>
        <v>1</v>
      </c>
      <c r="C34" s="204" t="s">
        <v>52</v>
      </c>
      <c r="D34" s="204"/>
      <c r="E34" s="204"/>
      <c r="F34" s="204"/>
      <c r="G34" s="204"/>
      <c r="I34" s="111"/>
      <c r="J34" s="111"/>
      <c r="K34" s="111"/>
      <c r="L34" s="116"/>
      <c r="M34" s="116"/>
      <c r="N34" s="117"/>
    </row>
    <row r="35" spans="1:14" s="16" customFormat="1" ht="19.5" customHeight="1" thickBot="1" x14ac:dyDescent="0.35">
      <c r="A35" s="214"/>
      <c r="B35" s="286"/>
      <c r="G35" s="204"/>
      <c r="I35" s="111"/>
      <c r="J35" s="111"/>
      <c r="K35" s="111"/>
      <c r="L35" s="116"/>
      <c r="M35" s="116"/>
      <c r="N35" s="117"/>
    </row>
    <row r="36" spans="1:14" s="16" customFormat="1" ht="27" customHeight="1" thickBot="1" x14ac:dyDescent="0.45">
      <c r="A36" s="121" t="s">
        <v>53</v>
      </c>
      <c r="B36" s="122">
        <v>5</v>
      </c>
      <c r="C36" s="204"/>
      <c r="D36" s="322" t="s">
        <v>54</v>
      </c>
      <c r="E36" s="339"/>
      <c r="F36" s="322" t="s">
        <v>55</v>
      </c>
      <c r="G36" s="323"/>
      <c r="J36" s="111"/>
      <c r="K36" s="111"/>
      <c r="L36" s="116"/>
      <c r="M36" s="116"/>
      <c r="N36" s="117"/>
    </row>
    <row r="37" spans="1:14" s="16" customFormat="1" ht="27" customHeight="1" thickBot="1" x14ac:dyDescent="0.45">
      <c r="A37" s="123" t="s">
        <v>56</v>
      </c>
      <c r="B37" s="124">
        <v>1</v>
      </c>
      <c r="C37" s="125" t="s">
        <v>57</v>
      </c>
      <c r="D37" s="126" t="s">
        <v>58</v>
      </c>
      <c r="E37" s="127" t="s">
        <v>59</v>
      </c>
      <c r="F37" s="126" t="s">
        <v>58</v>
      </c>
      <c r="G37" s="128" t="s">
        <v>59</v>
      </c>
      <c r="I37" s="129" t="s">
        <v>60</v>
      </c>
      <c r="J37" s="111"/>
      <c r="K37" s="111"/>
      <c r="L37" s="116"/>
      <c r="M37" s="116"/>
      <c r="N37" s="117"/>
    </row>
    <row r="38" spans="1:14" s="16" customFormat="1" ht="26.25" customHeight="1" x14ac:dyDescent="0.4">
      <c r="A38" s="123" t="s">
        <v>61</v>
      </c>
      <c r="B38" s="124">
        <v>1</v>
      </c>
      <c r="C38" s="130">
        <v>1</v>
      </c>
      <c r="D38" s="124">
        <v>3292437</v>
      </c>
      <c r="E38" s="132">
        <f>IF(ISBLANK(D38),"-",$D$48/$D$45*D38)</f>
        <v>2938100.5987414783</v>
      </c>
      <c r="F38" s="131">
        <v>3741173</v>
      </c>
      <c r="G38" s="133">
        <f>IF(ISBLANK(F38),"-",$D$48/$F$45*F38)</f>
        <v>2941097.4400821365</v>
      </c>
      <c r="I38" s="134"/>
      <c r="J38" s="111"/>
      <c r="K38" s="111"/>
      <c r="L38" s="116"/>
      <c r="M38" s="116"/>
      <c r="N38" s="117"/>
    </row>
    <row r="39" spans="1:14" s="16" customFormat="1" ht="26.25" customHeight="1" x14ac:dyDescent="0.4">
      <c r="A39" s="123" t="s">
        <v>62</v>
      </c>
      <c r="B39" s="124">
        <v>1</v>
      </c>
      <c r="C39" s="155">
        <v>2</v>
      </c>
      <c r="D39" s="124">
        <v>3298779</v>
      </c>
      <c r="E39" s="137">
        <f>IF(ISBLANK(D39),"-",$D$48/$D$45*D39)</f>
        <v>2943760.0643583508</v>
      </c>
      <c r="F39" s="136">
        <v>3742392</v>
      </c>
      <c r="G39" s="138">
        <f>IF(ISBLANK(F39),"-",$D$48/$F$45*F39)</f>
        <v>2942055.7485536933</v>
      </c>
      <c r="I39" s="324">
        <f>ABS((F43/D43*D42)-F42)/D42</f>
        <v>1.7260904418296935E-3</v>
      </c>
      <c r="J39" s="111"/>
      <c r="K39" s="111"/>
      <c r="L39" s="116"/>
      <c r="M39" s="116"/>
      <c r="N39" s="117"/>
    </row>
    <row r="40" spans="1:14" ht="26.25" customHeight="1" x14ac:dyDescent="0.4">
      <c r="A40" s="123" t="s">
        <v>63</v>
      </c>
      <c r="B40" s="124">
        <v>1</v>
      </c>
      <c r="C40" s="155">
        <v>3</v>
      </c>
      <c r="D40" s="124">
        <v>3322752</v>
      </c>
      <c r="E40" s="137">
        <f>IF(ISBLANK(D40),"-",$D$48/$D$45*D40)</f>
        <v>2965153.0585610126</v>
      </c>
      <c r="F40" s="136">
        <v>3753016</v>
      </c>
      <c r="G40" s="138">
        <f>IF(ISBLANK(F40),"-",$D$48/$F$45*F40)</f>
        <v>2950407.7331327097</v>
      </c>
      <c r="I40" s="324"/>
      <c r="L40" s="116"/>
      <c r="M40" s="116"/>
      <c r="N40" s="204"/>
    </row>
    <row r="41" spans="1:14" ht="27" customHeight="1" thickBot="1" x14ac:dyDescent="0.45">
      <c r="A41" s="123" t="s">
        <v>64</v>
      </c>
      <c r="B41" s="124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6"/>
      <c r="M41" s="116"/>
      <c r="N41" s="204"/>
    </row>
    <row r="42" spans="1:14" ht="27" customHeight="1" thickBot="1" x14ac:dyDescent="0.45">
      <c r="A42" s="123" t="s">
        <v>65</v>
      </c>
      <c r="B42" s="124">
        <v>1</v>
      </c>
      <c r="C42" s="145" t="s">
        <v>66</v>
      </c>
      <c r="D42" s="146">
        <f>AVERAGE(D38:D41)</f>
        <v>3304656</v>
      </c>
      <c r="E42" s="147">
        <f>AVERAGE(E38:E41)</f>
        <v>2949004.5738869472</v>
      </c>
      <c r="F42" s="146">
        <f>AVERAGE(F38:F41)</f>
        <v>3745527</v>
      </c>
      <c r="G42" s="148">
        <f>AVERAGE(G38:G41)</f>
        <v>2944520.3072561794</v>
      </c>
      <c r="H42" s="149"/>
    </row>
    <row r="43" spans="1:14" ht="26.25" customHeight="1" x14ac:dyDescent="0.4">
      <c r="A43" s="123" t="s">
        <v>67</v>
      </c>
      <c r="B43" s="124">
        <v>1</v>
      </c>
      <c r="C43" s="150" t="s">
        <v>68</v>
      </c>
      <c r="D43" s="151">
        <v>22.57</v>
      </c>
      <c r="E43" s="204"/>
      <c r="F43" s="151">
        <v>25.62</v>
      </c>
      <c r="H43" s="149"/>
    </row>
    <row r="44" spans="1:14" ht="26.25" customHeight="1" x14ac:dyDescent="0.4">
      <c r="A44" s="123" t="s">
        <v>69</v>
      </c>
      <c r="B44" s="124">
        <v>1</v>
      </c>
      <c r="C44" s="152" t="s">
        <v>70</v>
      </c>
      <c r="D44" s="153">
        <f>D43*$B$34</f>
        <v>22.57</v>
      </c>
      <c r="E44" s="222"/>
      <c r="F44" s="153">
        <f>F43*$B$34</f>
        <v>25.62</v>
      </c>
      <c r="H44" s="149"/>
    </row>
    <row r="45" spans="1:14" ht="19.5" customHeight="1" thickBot="1" x14ac:dyDescent="0.35">
      <c r="A45" s="123" t="s">
        <v>71</v>
      </c>
      <c r="B45" s="155">
        <f>(B44/B43)*(B42/B41)*(B40/B39)*(B38/B37)*B36</f>
        <v>5</v>
      </c>
      <c r="C45" s="152" t="s">
        <v>72</v>
      </c>
      <c r="D45" s="156">
        <f>D44*$B$30/100</f>
        <v>22.412009999999999</v>
      </c>
      <c r="E45" s="200"/>
      <c r="F45" s="156">
        <f>F44*$B$30/100</f>
        <v>25.440659999999998</v>
      </c>
      <c r="H45" s="149"/>
    </row>
    <row r="46" spans="1:14" ht="19.5" customHeight="1" thickBot="1" x14ac:dyDescent="0.35">
      <c r="A46" s="310" t="s">
        <v>73</v>
      </c>
      <c r="B46" s="311"/>
      <c r="C46" s="152" t="s">
        <v>74</v>
      </c>
      <c r="D46" s="158">
        <f>D45/$B$45</f>
        <v>4.4824019999999996</v>
      </c>
      <c r="E46" s="159"/>
      <c r="F46" s="160">
        <f>F45/$B$45</f>
        <v>5.0881319999999999</v>
      </c>
      <c r="H46" s="149"/>
    </row>
    <row r="47" spans="1:14" ht="27" customHeight="1" thickBot="1" x14ac:dyDescent="0.45">
      <c r="A47" s="312"/>
      <c r="B47" s="313"/>
      <c r="C47" s="161" t="s">
        <v>75</v>
      </c>
      <c r="D47" s="162">
        <v>4</v>
      </c>
      <c r="E47" s="163"/>
      <c r="F47" s="159"/>
      <c r="H47" s="149"/>
    </row>
    <row r="48" spans="1:14" ht="18.75" x14ac:dyDescent="0.3">
      <c r="C48" s="164" t="s">
        <v>76</v>
      </c>
      <c r="D48" s="156">
        <f>D47*$B$45</f>
        <v>20</v>
      </c>
      <c r="F48" s="165"/>
      <c r="H48" s="149"/>
    </row>
    <row r="49" spans="1:12" ht="19.5" customHeight="1" thickBot="1" x14ac:dyDescent="0.35">
      <c r="C49" s="166" t="s">
        <v>77</v>
      </c>
      <c r="D49" s="167">
        <f>D48/B34</f>
        <v>20</v>
      </c>
      <c r="F49" s="165"/>
      <c r="H49" s="149"/>
    </row>
    <row r="50" spans="1:12" ht="18.75" x14ac:dyDescent="0.3">
      <c r="C50" s="121" t="s">
        <v>78</v>
      </c>
      <c r="D50" s="168">
        <f>AVERAGE(E38:E41,G38:G41)</f>
        <v>2946762.4405715633</v>
      </c>
      <c r="F50" s="169"/>
      <c r="H50" s="149"/>
    </row>
    <row r="51" spans="1:12" ht="18.75" x14ac:dyDescent="0.3">
      <c r="C51" s="123" t="s">
        <v>79</v>
      </c>
      <c r="D51" s="170">
        <f>STDEV(E38:E41,G38:G41)/D50</f>
        <v>3.3587277331698509E-3</v>
      </c>
      <c r="F51" s="169"/>
      <c r="H51" s="149"/>
    </row>
    <row r="52" spans="1:12" ht="19.5" customHeight="1" thickBot="1" x14ac:dyDescent="0.35">
      <c r="C52" s="171" t="s">
        <v>15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80</v>
      </c>
    </row>
    <row r="55" spans="1:12" ht="18.75" x14ac:dyDescent="0.3">
      <c r="A55" s="204" t="s">
        <v>81</v>
      </c>
      <c r="B55" s="176" t="str">
        <f>B21</f>
        <v>Each bilayered tablet contains Artesunate 25 mg &amp; Amodiaquine HCl 67.5mg</v>
      </c>
    </row>
    <row r="56" spans="1:12" ht="26.25" customHeight="1" x14ac:dyDescent="0.4">
      <c r="A56" s="176" t="s">
        <v>82</v>
      </c>
      <c r="B56" s="177">
        <v>25</v>
      </c>
      <c r="C56" s="204" t="str">
        <f>B20</f>
        <v>Artesunate</v>
      </c>
      <c r="H56" s="222"/>
    </row>
    <row r="57" spans="1:12" ht="18.75" x14ac:dyDescent="0.3">
      <c r="A57" s="176" t="s">
        <v>83</v>
      </c>
      <c r="B57" s="269">
        <f>Uniformity!C46</f>
        <v>177.49599999999998</v>
      </c>
      <c r="H57" s="222"/>
    </row>
    <row r="58" spans="1:12" ht="19.5" customHeight="1" thickBot="1" x14ac:dyDescent="0.35">
      <c r="H58" s="222"/>
    </row>
    <row r="59" spans="1:12" s="16" customFormat="1" ht="27" customHeight="1" thickBot="1" x14ac:dyDescent="0.45">
      <c r="A59" s="121" t="s">
        <v>84</v>
      </c>
      <c r="B59" s="122">
        <v>5</v>
      </c>
      <c r="C59" s="204"/>
      <c r="D59" s="179" t="s">
        <v>85</v>
      </c>
      <c r="E59" s="180" t="s">
        <v>57</v>
      </c>
      <c r="F59" s="180" t="s">
        <v>58</v>
      </c>
      <c r="G59" s="180" t="s">
        <v>86</v>
      </c>
      <c r="H59" s="125" t="s">
        <v>87</v>
      </c>
      <c r="L59" s="111"/>
    </row>
    <row r="60" spans="1:12" s="16" customFormat="1" ht="26.25" customHeight="1" x14ac:dyDescent="0.4">
      <c r="A60" s="123" t="s">
        <v>88</v>
      </c>
      <c r="B60" s="124">
        <v>1</v>
      </c>
      <c r="C60" s="327" t="s">
        <v>89</v>
      </c>
      <c r="D60" s="330">
        <v>180.9</v>
      </c>
      <c r="E60" s="181">
        <v>1</v>
      </c>
      <c r="F60" s="182">
        <v>3899154</v>
      </c>
      <c r="G60" s="271">
        <f>IF(ISBLANK(F60),"-",(F60/$D$50*$D$47*$B$68)*($B$57/$D$60))</f>
        <v>25.96601249699123</v>
      </c>
      <c r="H60" s="183">
        <f>IF(ISBLANK(F60),"-",G60/$B$56)</f>
        <v>1.0386404998796492</v>
      </c>
      <c r="L60" s="111"/>
    </row>
    <row r="61" spans="1:12" s="16" customFormat="1" ht="26.25" customHeight="1" x14ac:dyDescent="0.4">
      <c r="A61" s="123" t="s">
        <v>90</v>
      </c>
      <c r="B61" s="124">
        <v>1</v>
      </c>
      <c r="C61" s="328"/>
      <c r="D61" s="331"/>
      <c r="E61" s="184">
        <v>2</v>
      </c>
      <c r="F61" s="136">
        <v>3898632</v>
      </c>
      <c r="G61" s="272">
        <f>IF(ISBLANK(F61),"-",(F61/$D$50*$D$47*$B$68)*($B$57/$D$60))</f>
        <v>25.962536292018708</v>
      </c>
      <c r="H61" s="185">
        <f t="shared" ref="H61:H71" si="0">IF(ISBLANK(F61),"-",G61/$B$56)</f>
        <v>1.0385014516807483</v>
      </c>
      <c r="L61" s="111"/>
    </row>
    <row r="62" spans="1:12" s="16" customFormat="1" ht="26.25" customHeight="1" x14ac:dyDescent="0.4">
      <c r="A62" s="123" t="s">
        <v>91</v>
      </c>
      <c r="B62" s="124">
        <v>1</v>
      </c>
      <c r="C62" s="328"/>
      <c r="D62" s="331"/>
      <c r="E62" s="184">
        <v>3</v>
      </c>
      <c r="F62" s="186">
        <v>3896410</v>
      </c>
      <c r="G62" s="272">
        <f>IF(ISBLANK(F62),"-",(F62/$D$50*$D$47*$B$68)*($B$57/$D$60))</f>
        <v>25.947739112997741</v>
      </c>
      <c r="H62" s="185">
        <f t="shared" si="0"/>
        <v>1.0379095645199097</v>
      </c>
      <c r="L62" s="111"/>
    </row>
    <row r="63" spans="1:12" ht="27" customHeight="1" thickBot="1" x14ac:dyDescent="0.45">
      <c r="A63" s="123" t="s">
        <v>92</v>
      </c>
      <c r="B63" s="124">
        <v>1</v>
      </c>
      <c r="C63" s="338"/>
      <c r="D63" s="332"/>
      <c r="E63" s="187">
        <v>4</v>
      </c>
      <c r="F63" s="188"/>
      <c r="G63" s="272" t="str">
        <f>IF(ISBLANK(F63),"-",(F63/$D$50*$D$47*$B$68)*($B$57/$D$60))</f>
        <v>-</v>
      </c>
      <c r="H63" s="185" t="str">
        <f t="shared" si="0"/>
        <v>-</v>
      </c>
    </row>
    <row r="64" spans="1:12" ht="26.25" customHeight="1" x14ac:dyDescent="0.4">
      <c r="A64" s="123" t="s">
        <v>93</v>
      </c>
      <c r="B64" s="124">
        <v>1</v>
      </c>
      <c r="C64" s="327" t="s">
        <v>94</v>
      </c>
      <c r="D64" s="330">
        <v>170.02</v>
      </c>
      <c r="E64" s="181">
        <v>1</v>
      </c>
      <c r="F64" s="182">
        <v>3581723</v>
      </c>
      <c r="G64" s="273">
        <f>IF(ISBLANK(F64),"-",(F64/$D$50*$D$47*$B$68)*($B$57/$D$64))</f>
        <v>25.378469306472553</v>
      </c>
      <c r="H64" s="189">
        <f>IF(ISBLANK(F64),"-",G64/$B$56)</f>
        <v>1.015138772258902</v>
      </c>
    </row>
    <row r="65" spans="1:8" ht="26.25" customHeight="1" x14ac:dyDescent="0.4">
      <c r="A65" s="123" t="s">
        <v>95</v>
      </c>
      <c r="B65" s="124">
        <v>1</v>
      </c>
      <c r="C65" s="328"/>
      <c r="D65" s="331"/>
      <c r="E65" s="184">
        <v>2</v>
      </c>
      <c r="F65" s="136">
        <v>3586967</v>
      </c>
      <c r="G65" s="274">
        <f>IF(ISBLANK(F65),"-",(F65/$D$50*$D$47*$B$68)*($B$57/$D$64))</f>
        <v>25.41562591881894</v>
      </c>
      <c r="H65" s="190">
        <f t="shared" si="0"/>
        <v>1.0166250367527576</v>
      </c>
    </row>
    <row r="66" spans="1:8" ht="26.25" customHeight="1" x14ac:dyDescent="0.4">
      <c r="A66" s="123" t="s">
        <v>96</v>
      </c>
      <c r="B66" s="124">
        <v>1</v>
      </c>
      <c r="C66" s="328"/>
      <c r="D66" s="331"/>
      <c r="E66" s="184">
        <v>3</v>
      </c>
      <c r="F66" s="136">
        <v>3582330</v>
      </c>
      <c r="G66" s="274">
        <f>IF(ISBLANK(F66),"-",(F66/$D$50*$D$47*$B$68)*($B$57/$D$64))</f>
        <v>25.382770233950485</v>
      </c>
      <c r="H66" s="190">
        <f t="shared" si="0"/>
        <v>1.0153108093580194</v>
      </c>
    </row>
    <row r="67" spans="1:8" ht="27" customHeight="1" thickBot="1" x14ac:dyDescent="0.45">
      <c r="A67" s="123" t="s">
        <v>97</v>
      </c>
      <c r="B67" s="124">
        <v>1</v>
      </c>
      <c r="C67" s="338"/>
      <c r="D67" s="332"/>
      <c r="E67" s="187">
        <v>4</v>
      </c>
      <c r="F67" s="188"/>
      <c r="G67" s="275" t="str">
        <f>IF(ISBLANK(F67),"-",(F67/$D$50*$D$47*$B$68)*($B$57/$D$64))</f>
        <v>-</v>
      </c>
      <c r="H67" s="191" t="str">
        <f t="shared" si="0"/>
        <v>-</v>
      </c>
    </row>
    <row r="68" spans="1:8" ht="26.25" customHeight="1" x14ac:dyDescent="0.4">
      <c r="A68" s="123" t="s">
        <v>98</v>
      </c>
      <c r="B68" s="192">
        <f>(B67/B66)*(B65/B64)*(B63/B62)*(B61/B60)*B59</f>
        <v>5</v>
      </c>
      <c r="C68" s="327" t="s">
        <v>99</v>
      </c>
      <c r="D68" s="330">
        <v>160.11000000000001</v>
      </c>
      <c r="E68" s="181">
        <v>1</v>
      </c>
      <c r="F68" s="182">
        <v>3390121</v>
      </c>
      <c r="G68" s="273">
        <f>IF(ISBLANK(F68),"-",(F68/$D$50*$D$47*$B$68)*($B$57/$D$68))</f>
        <v>25.507634309687603</v>
      </c>
      <c r="H68" s="185">
        <f>IF(ISBLANK(F68),"-",G68/$B$56)</f>
        <v>1.0203053723875042</v>
      </c>
    </row>
    <row r="69" spans="1:8" ht="27" customHeight="1" thickBot="1" x14ac:dyDescent="0.45">
      <c r="A69" s="171" t="s">
        <v>100</v>
      </c>
      <c r="B69" s="193">
        <f>(D47*B68)/B56*B57</f>
        <v>141.99679999999998</v>
      </c>
      <c r="C69" s="328"/>
      <c r="D69" s="331"/>
      <c r="E69" s="184">
        <v>2</v>
      </c>
      <c r="F69" s="136">
        <v>3390722</v>
      </c>
      <c r="G69" s="274">
        <f>IF(ISBLANK(F69),"-",(F69/$D$50*$D$47*$B$68)*($B$57/$D$68))</f>
        <v>25.512156298200736</v>
      </c>
      <c r="H69" s="185">
        <f t="shared" si="0"/>
        <v>1.0204862519280296</v>
      </c>
    </row>
    <row r="70" spans="1:8" ht="26.25" customHeight="1" x14ac:dyDescent="0.4">
      <c r="A70" s="333" t="s">
        <v>73</v>
      </c>
      <c r="B70" s="334"/>
      <c r="C70" s="328"/>
      <c r="D70" s="331"/>
      <c r="E70" s="184">
        <v>3</v>
      </c>
      <c r="F70" s="136">
        <v>3402322</v>
      </c>
      <c r="G70" s="274">
        <f>IF(ISBLANK(F70),"-",(F70/$D$50*$D$47*$B$68)*($B$57/$D$68))</f>
        <v>25.599435943379287</v>
      </c>
      <c r="H70" s="185">
        <f t="shared" si="0"/>
        <v>1.0239774377351716</v>
      </c>
    </row>
    <row r="71" spans="1:8" ht="27" customHeight="1" thickBot="1" x14ac:dyDescent="0.45">
      <c r="A71" s="335"/>
      <c r="B71" s="336"/>
      <c r="C71" s="329"/>
      <c r="D71" s="332"/>
      <c r="E71" s="187">
        <v>4</v>
      </c>
      <c r="F71" s="188"/>
      <c r="G71" s="275" t="str">
        <f>IF(ISBLANK(F71),"-",(F71/$D$50*$D$47*$B$68)*($B$57/$D$68))</f>
        <v>-</v>
      </c>
      <c r="H71" s="194" t="str">
        <f t="shared" si="0"/>
        <v>-</v>
      </c>
    </row>
    <row r="72" spans="1:8" ht="26.25" customHeight="1" x14ac:dyDescent="0.4">
      <c r="A72" s="222"/>
      <c r="B72" s="222"/>
      <c r="C72" s="222"/>
      <c r="D72" s="222"/>
      <c r="E72" s="222"/>
      <c r="F72" s="222"/>
      <c r="G72" s="197" t="s">
        <v>66</v>
      </c>
      <c r="H72" s="198">
        <f>AVERAGE(H60:H71)</f>
        <v>1.0252105773889655</v>
      </c>
    </row>
    <row r="73" spans="1:8" ht="26.25" customHeight="1" x14ac:dyDescent="0.4">
      <c r="C73" s="222"/>
      <c r="D73" s="222"/>
      <c r="E73" s="222"/>
      <c r="F73" s="222"/>
      <c r="G73" s="199" t="s">
        <v>79</v>
      </c>
      <c r="H73" s="276">
        <f>STDEV(H60:H71)/H72</f>
        <v>9.9910058573711713E-3</v>
      </c>
    </row>
    <row r="74" spans="1:8" ht="27" customHeight="1" thickBot="1" x14ac:dyDescent="0.45">
      <c r="A74" s="222"/>
      <c r="B74" s="222"/>
      <c r="C74" s="222"/>
      <c r="D74" s="222"/>
      <c r="E74" s="200"/>
      <c r="F74" s="222"/>
      <c r="G74" s="201" t="s">
        <v>15</v>
      </c>
      <c r="H74" s="202">
        <f>COUNT(H60:H71)</f>
        <v>9</v>
      </c>
    </row>
    <row r="76" spans="1:8" ht="26.25" customHeight="1" x14ac:dyDescent="0.4">
      <c r="A76" s="262" t="s">
        <v>101</v>
      </c>
      <c r="B76" s="214" t="s">
        <v>102</v>
      </c>
      <c r="C76" s="314" t="str">
        <f>B20</f>
        <v>Artesunate</v>
      </c>
      <c r="D76" s="314"/>
      <c r="E76" s="204" t="s">
        <v>103</v>
      </c>
      <c r="F76" s="204"/>
      <c r="G76" s="205">
        <f>H72</f>
        <v>1.0252105773889655</v>
      </c>
      <c r="H76" s="286"/>
    </row>
    <row r="77" spans="1:8" ht="18.75" x14ac:dyDescent="0.3">
      <c r="A77" s="106" t="s">
        <v>104</v>
      </c>
      <c r="B77" s="106" t="s">
        <v>105</v>
      </c>
    </row>
    <row r="78" spans="1:8" ht="18.75" x14ac:dyDescent="0.3">
      <c r="A78" s="106"/>
      <c r="B78" s="106"/>
    </row>
    <row r="79" spans="1:8" ht="26.25" customHeight="1" x14ac:dyDescent="0.4">
      <c r="A79" s="262" t="s">
        <v>4</v>
      </c>
      <c r="B79" s="337" t="str">
        <f>B26</f>
        <v>Artesunate</v>
      </c>
      <c r="C79" s="337"/>
    </row>
    <row r="80" spans="1:8" ht="26.25" customHeight="1" x14ac:dyDescent="0.4">
      <c r="A80" s="214" t="s">
        <v>43</v>
      </c>
      <c r="B80" s="337" t="str">
        <f>B27</f>
        <v>A15 2</v>
      </c>
      <c r="C80" s="337"/>
    </row>
    <row r="81" spans="1:12" ht="27" customHeight="1" thickBot="1" x14ac:dyDescent="0.45">
      <c r="A81" s="214" t="s">
        <v>5</v>
      </c>
      <c r="B81" s="207">
        <f>B28</f>
        <v>99.3</v>
      </c>
    </row>
    <row r="82" spans="1:12" s="16" customFormat="1" ht="27" customHeight="1" thickBot="1" x14ac:dyDescent="0.45">
      <c r="A82" s="214" t="s">
        <v>44</v>
      </c>
      <c r="B82" s="110">
        <v>0</v>
      </c>
      <c r="C82" s="316" t="s">
        <v>45</v>
      </c>
      <c r="D82" s="317"/>
      <c r="E82" s="317"/>
      <c r="F82" s="317"/>
      <c r="G82" s="318"/>
      <c r="I82" s="111"/>
      <c r="J82" s="111"/>
      <c r="K82" s="111"/>
      <c r="L82" s="111"/>
    </row>
    <row r="83" spans="1:12" s="16" customFormat="1" ht="19.5" customHeight="1" thickBot="1" x14ac:dyDescent="0.35">
      <c r="A83" s="214" t="s">
        <v>46</v>
      </c>
      <c r="B83" s="286">
        <f>B81-B82</f>
        <v>99.3</v>
      </c>
      <c r="C83" s="113"/>
      <c r="D83" s="113"/>
      <c r="E83" s="113"/>
      <c r="F83" s="113"/>
      <c r="G83" s="114"/>
      <c r="I83" s="111"/>
      <c r="J83" s="111"/>
      <c r="K83" s="111"/>
      <c r="L83" s="111"/>
    </row>
    <row r="84" spans="1:12" s="16" customFormat="1" ht="27" customHeight="1" thickBot="1" x14ac:dyDescent="0.45">
      <c r="A84" s="214" t="s">
        <v>47</v>
      </c>
      <c r="B84" s="115">
        <v>1</v>
      </c>
      <c r="C84" s="319" t="s">
        <v>106</v>
      </c>
      <c r="D84" s="320"/>
      <c r="E84" s="320"/>
      <c r="F84" s="320"/>
      <c r="G84" s="320"/>
      <c r="H84" s="321"/>
      <c r="I84" s="111"/>
      <c r="J84" s="111"/>
      <c r="K84" s="111"/>
      <c r="L84" s="111"/>
    </row>
    <row r="85" spans="1:12" s="16" customFormat="1" ht="27" customHeight="1" thickBot="1" x14ac:dyDescent="0.45">
      <c r="A85" s="214" t="s">
        <v>49</v>
      </c>
      <c r="B85" s="115">
        <v>1</v>
      </c>
      <c r="C85" s="319" t="s">
        <v>107</v>
      </c>
      <c r="D85" s="320"/>
      <c r="E85" s="320"/>
      <c r="F85" s="320"/>
      <c r="G85" s="320"/>
      <c r="H85" s="321"/>
      <c r="I85" s="111"/>
      <c r="J85" s="111"/>
      <c r="K85" s="111"/>
      <c r="L85" s="111"/>
    </row>
    <row r="86" spans="1:12" s="16" customFormat="1" ht="18.75" x14ac:dyDescent="0.3">
      <c r="A86" s="214"/>
      <c r="B86" s="118"/>
      <c r="C86" s="119"/>
      <c r="D86" s="119"/>
      <c r="E86" s="119"/>
      <c r="F86" s="119"/>
      <c r="G86" s="119"/>
      <c r="H86" s="119"/>
      <c r="I86" s="111"/>
      <c r="J86" s="111"/>
      <c r="K86" s="111"/>
      <c r="L86" s="111"/>
    </row>
    <row r="87" spans="1:12" s="16" customFormat="1" ht="18.75" x14ac:dyDescent="0.3">
      <c r="A87" s="214" t="s">
        <v>51</v>
      </c>
      <c r="B87" s="120">
        <f>B84/B85</f>
        <v>1</v>
      </c>
      <c r="C87" s="204" t="s">
        <v>52</v>
      </c>
      <c r="D87" s="204"/>
      <c r="E87" s="204"/>
      <c r="F87" s="204"/>
      <c r="G87" s="204"/>
      <c r="I87" s="111"/>
      <c r="J87" s="111"/>
      <c r="K87" s="111"/>
      <c r="L87" s="111"/>
    </row>
    <row r="88" spans="1:12" ht="19.5" customHeight="1" thickBot="1" x14ac:dyDescent="0.35">
      <c r="A88" s="106"/>
      <c r="B88" s="106"/>
    </row>
    <row r="89" spans="1:12" ht="27" customHeight="1" thickBot="1" x14ac:dyDescent="0.45">
      <c r="A89" s="121" t="s">
        <v>53</v>
      </c>
      <c r="B89" s="122">
        <v>5</v>
      </c>
      <c r="D89" s="288" t="s">
        <v>54</v>
      </c>
      <c r="E89" s="291"/>
      <c r="F89" s="322" t="s">
        <v>55</v>
      </c>
      <c r="G89" s="323"/>
    </row>
    <row r="90" spans="1:12" ht="27" customHeight="1" thickBot="1" x14ac:dyDescent="0.45">
      <c r="A90" s="123" t="s">
        <v>56</v>
      </c>
      <c r="B90" s="124">
        <v>1</v>
      </c>
      <c r="C90" s="287" t="s">
        <v>57</v>
      </c>
      <c r="D90" s="126" t="s">
        <v>58</v>
      </c>
      <c r="E90" s="127" t="s">
        <v>59</v>
      </c>
      <c r="F90" s="126" t="s">
        <v>58</v>
      </c>
      <c r="G90" s="211" t="s">
        <v>59</v>
      </c>
      <c r="I90" s="129" t="s">
        <v>60</v>
      </c>
    </row>
    <row r="91" spans="1:12" ht="26.25" customHeight="1" x14ac:dyDescent="0.4">
      <c r="A91" s="123" t="s">
        <v>61</v>
      </c>
      <c r="B91" s="124">
        <v>100</v>
      </c>
      <c r="C91" s="212">
        <v>1</v>
      </c>
      <c r="D91" s="281">
        <v>1021335</v>
      </c>
      <c r="E91" s="132">
        <f>IF(ISBLANK(D91),"-",$D$101/$D$98*D91)</f>
        <v>1139271.9796216404</v>
      </c>
      <c r="F91" s="281">
        <v>1157050</v>
      </c>
      <c r="G91" s="133">
        <f>IF(ISBLANK(F91),"-",$D$101/$F$98*F91)</f>
        <v>1137008.6310653891</v>
      </c>
      <c r="I91" s="134"/>
    </row>
    <row r="92" spans="1:12" ht="26.25" customHeight="1" x14ac:dyDescent="0.4">
      <c r="A92" s="123" t="s">
        <v>62</v>
      </c>
      <c r="B92" s="124">
        <v>1</v>
      </c>
      <c r="C92" s="222">
        <v>2</v>
      </c>
      <c r="D92" s="282">
        <v>1037408</v>
      </c>
      <c r="E92" s="137">
        <f>IF(ISBLANK(D92),"-",$D$101/$D$98*D92)</f>
        <v>1157200.982865883</v>
      </c>
      <c r="F92" s="282">
        <v>1153283</v>
      </c>
      <c r="G92" s="138">
        <f>IF(ISBLANK(F92),"-",$D$101/$F$98*F92)</f>
        <v>1133306.8796171169</v>
      </c>
      <c r="I92" s="324">
        <f>ABS((F96/D96*D95)-F95)/D95</f>
        <v>1.0030393744065539E-2</v>
      </c>
    </row>
    <row r="93" spans="1:12" ht="26.25" customHeight="1" x14ac:dyDescent="0.4">
      <c r="A93" s="123" t="s">
        <v>63</v>
      </c>
      <c r="B93" s="124">
        <v>1</v>
      </c>
      <c r="C93" s="222">
        <v>3</v>
      </c>
      <c r="D93" s="282">
        <v>1020269</v>
      </c>
      <c r="E93" s="137">
        <f>IF(ISBLANK(D93),"-",$D$101/$D$98*D93)</f>
        <v>1138082.8850245918</v>
      </c>
      <c r="F93" s="282">
        <v>1153878</v>
      </c>
      <c r="G93" s="138">
        <f>IF(ISBLANK(F93),"-",$D$101/$F$98*F93)</f>
        <v>1133891.573567667</v>
      </c>
      <c r="I93" s="324"/>
    </row>
    <row r="94" spans="1:12" ht="27" customHeight="1" thickBot="1" x14ac:dyDescent="0.45">
      <c r="A94" s="123" t="s">
        <v>64</v>
      </c>
      <c r="B94" s="124">
        <v>1</v>
      </c>
      <c r="C94" s="213">
        <v>4</v>
      </c>
      <c r="D94" s="283"/>
      <c r="E94" s="142" t="str">
        <f>IF(ISBLANK(D94),"-",$D$101/$D$98*D94)</f>
        <v>-</v>
      </c>
      <c r="F94" s="284"/>
      <c r="G94" s="143" t="str">
        <f>IF(ISBLANK(F94),"-",$D$101/$F$98*F94)</f>
        <v>-</v>
      </c>
      <c r="I94" s="144"/>
    </row>
    <row r="95" spans="1:12" ht="27" customHeight="1" thickBot="1" x14ac:dyDescent="0.45">
      <c r="A95" s="123" t="s">
        <v>65</v>
      </c>
      <c r="B95" s="124">
        <v>1</v>
      </c>
      <c r="C95" s="214" t="s">
        <v>66</v>
      </c>
      <c r="D95" s="215">
        <f>AVERAGE(D91:D94)</f>
        <v>1026337.3333333334</v>
      </c>
      <c r="E95" s="147">
        <f>AVERAGE(E91:E94)</f>
        <v>1144851.9491707052</v>
      </c>
      <c r="F95" s="216">
        <f>AVERAGE(F91:F94)</f>
        <v>1154737</v>
      </c>
      <c r="G95" s="217">
        <f>AVERAGE(G91:G94)</f>
        <v>1134735.6947500578</v>
      </c>
    </row>
    <row r="96" spans="1:12" ht="26.25" customHeight="1" x14ac:dyDescent="0.4">
      <c r="A96" s="123" t="s">
        <v>67</v>
      </c>
      <c r="B96" s="207">
        <v>1</v>
      </c>
      <c r="C96" s="218" t="s">
        <v>108</v>
      </c>
      <c r="D96" s="219">
        <v>22.57</v>
      </c>
      <c r="E96" s="204"/>
      <c r="F96" s="151">
        <v>25.62</v>
      </c>
    </row>
    <row r="97" spans="1:10" ht="26.25" customHeight="1" x14ac:dyDescent="0.4">
      <c r="A97" s="123" t="s">
        <v>69</v>
      </c>
      <c r="B97" s="207">
        <v>1</v>
      </c>
      <c r="C97" s="220" t="s">
        <v>109</v>
      </c>
      <c r="D97" s="221">
        <f>D96*$B$87</f>
        <v>22.57</v>
      </c>
      <c r="E97" s="222"/>
      <c r="F97" s="153">
        <f>F96*$B$87</f>
        <v>25.62</v>
      </c>
    </row>
    <row r="98" spans="1:10" ht="19.5" customHeight="1" thickBot="1" x14ac:dyDescent="0.35">
      <c r="A98" s="123" t="s">
        <v>71</v>
      </c>
      <c r="B98" s="222">
        <f>(B97/B96)*(B95/B94)*(B93/B92)*(B91/B90)*B89</f>
        <v>500</v>
      </c>
      <c r="C98" s="220" t="s">
        <v>110</v>
      </c>
      <c r="D98" s="223">
        <f>D97*$B$83/100</f>
        <v>22.412009999999999</v>
      </c>
      <c r="E98" s="200"/>
      <c r="F98" s="156">
        <f>F97*$B$83/100</f>
        <v>25.440659999999998</v>
      </c>
    </row>
    <row r="99" spans="1:10" ht="19.5" customHeight="1" thickBot="1" x14ac:dyDescent="0.35">
      <c r="A99" s="310" t="s">
        <v>73</v>
      </c>
      <c r="B99" s="325"/>
      <c r="C99" s="220" t="s">
        <v>111</v>
      </c>
      <c r="D99" s="224">
        <f>D98/$B$98</f>
        <v>4.4824019999999999E-2</v>
      </c>
      <c r="E99" s="200"/>
      <c r="F99" s="160">
        <f>F98/$B$98</f>
        <v>5.0881319999999994E-2</v>
      </c>
      <c r="H99" s="149"/>
    </row>
    <row r="100" spans="1:10" ht="19.5" customHeight="1" thickBot="1" x14ac:dyDescent="0.35">
      <c r="A100" s="312"/>
      <c r="B100" s="326"/>
      <c r="C100" s="220" t="s">
        <v>75</v>
      </c>
      <c r="D100" s="226">
        <f>$B$56/$B$116</f>
        <v>0.05</v>
      </c>
      <c r="F100" s="165"/>
      <c r="G100" s="233"/>
      <c r="H100" s="149"/>
    </row>
    <row r="101" spans="1:10" ht="18.75" x14ac:dyDescent="0.3">
      <c r="C101" s="220" t="s">
        <v>76</v>
      </c>
      <c r="D101" s="221">
        <f>D100*$B$98</f>
        <v>25</v>
      </c>
      <c r="F101" s="165"/>
      <c r="H101" s="149"/>
    </row>
    <row r="102" spans="1:10" ht="19.5" customHeight="1" thickBot="1" x14ac:dyDescent="0.35">
      <c r="C102" s="228" t="s">
        <v>77</v>
      </c>
      <c r="D102" s="229">
        <f>D101/B34</f>
        <v>25</v>
      </c>
      <c r="F102" s="169"/>
      <c r="H102" s="149"/>
      <c r="J102" s="230"/>
    </row>
    <row r="103" spans="1:10" ht="18.75" x14ac:dyDescent="0.3">
      <c r="C103" s="231" t="s">
        <v>112</v>
      </c>
      <c r="D103" s="232">
        <f>AVERAGE(E91:E94,G91:G94)</f>
        <v>1139793.8219603815</v>
      </c>
      <c r="F103" s="169"/>
      <c r="G103" s="233"/>
      <c r="H103" s="149"/>
      <c r="J103" s="234"/>
    </row>
    <row r="104" spans="1:10" ht="18.75" x14ac:dyDescent="0.3">
      <c r="C104" s="199" t="s">
        <v>79</v>
      </c>
      <c r="D104" s="235">
        <f>STDEV(E91:E94,G91:G94)/D103</f>
        <v>7.757328049680429E-3</v>
      </c>
      <c r="F104" s="169"/>
      <c r="H104" s="149"/>
      <c r="J104" s="234"/>
    </row>
    <row r="105" spans="1:10" ht="19.5" customHeight="1" thickBot="1" x14ac:dyDescent="0.35">
      <c r="C105" s="201" t="s">
        <v>15</v>
      </c>
      <c r="D105" s="236">
        <f>COUNT(E91:E94,G91:G94)</f>
        <v>6</v>
      </c>
      <c r="F105" s="169"/>
      <c r="H105" s="149"/>
      <c r="J105" s="234"/>
    </row>
    <row r="106" spans="1:10" ht="19.5" customHeight="1" thickBot="1" x14ac:dyDescent="0.35">
      <c r="A106" s="173"/>
      <c r="B106" s="173"/>
      <c r="C106" s="173"/>
      <c r="D106" s="173"/>
      <c r="E106" s="173"/>
    </row>
    <row r="107" spans="1:10" ht="26.25" customHeight="1" x14ac:dyDescent="0.4">
      <c r="A107" s="121" t="s">
        <v>113</v>
      </c>
      <c r="B107" s="122">
        <v>500</v>
      </c>
      <c r="C107" s="288" t="s">
        <v>114</v>
      </c>
      <c r="D107" s="238" t="s">
        <v>58</v>
      </c>
      <c r="E107" s="239" t="s">
        <v>115</v>
      </c>
      <c r="F107" s="240" t="s">
        <v>116</v>
      </c>
    </row>
    <row r="108" spans="1:10" ht="26.25" customHeight="1" x14ac:dyDescent="0.4">
      <c r="A108" s="123" t="s">
        <v>117</v>
      </c>
      <c r="B108" s="124">
        <v>1</v>
      </c>
      <c r="C108" s="241">
        <v>1</v>
      </c>
      <c r="D108" s="242">
        <v>1091094</v>
      </c>
      <c r="E108" s="277">
        <f t="shared" ref="E108:E113" si="1">IF(ISBLANK(D108),"-",D108/$D$103*$D$100*$B$116)</f>
        <v>23.93182826090818</v>
      </c>
      <c r="F108" s="243">
        <f>IF(ISBLANK(D108), "-", E108/$B$56)</f>
        <v>0.95727313043632722</v>
      </c>
    </row>
    <row r="109" spans="1:10" ht="26.25" customHeight="1" x14ac:dyDescent="0.4">
      <c r="A109" s="123" t="s">
        <v>90</v>
      </c>
      <c r="B109" s="124">
        <v>1</v>
      </c>
      <c r="C109" s="241">
        <v>2</v>
      </c>
      <c r="D109" s="242">
        <v>1098256</v>
      </c>
      <c r="E109" s="278">
        <f t="shared" si="1"/>
        <v>24.088918075355537</v>
      </c>
      <c r="F109" s="244">
        <f t="shared" ref="F109:F113" si="2">IF(ISBLANK(D109), "-", E109/$B$56)</f>
        <v>0.96355672301422146</v>
      </c>
    </row>
    <row r="110" spans="1:10" ht="26.25" customHeight="1" x14ac:dyDescent="0.4">
      <c r="A110" s="123" t="s">
        <v>91</v>
      </c>
      <c r="B110" s="124">
        <v>1</v>
      </c>
      <c r="C110" s="241">
        <v>3</v>
      </c>
      <c r="D110" s="242">
        <v>1098765</v>
      </c>
      <c r="E110" s="278">
        <f t="shared" si="1"/>
        <v>24.100082375209446</v>
      </c>
      <c r="F110" s="244">
        <f>IF(ISBLANK(D110), "-", E110/$B$56)</f>
        <v>0.96400329500837789</v>
      </c>
    </row>
    <row r="111" spans="1:10" ht="26.25" customHeight="1" x14ac:dyDescent="0.4">
      <c r="A111" s="123" t="s">
        <v>92</v>
      </c>
      <c r="B111" s="124">
        <v>1</v>
      </c>
      <c r="C111" s="241">
        <v>4</v>
      </c>
      <c r="D111" s="242">
        <v>1095343</v>
      </c>
      <c r="E111" s="278">
        <f t="shared" si="1"/>
        <v>24.025024940828146</v>
      </c>
      <c r="F111" s="244">
        <f t="shared" si="2"/>
        <v>0.96100099763312585</v>
      </c>
    </row>
    <row r="112" spans="1:10" ht="26.25" customHeight="1" x14ac:dyDescent="0.4">
      <c r="A112" s="123" t="s">
        <v>93</v>
      </c>
      <c r="B112" s="124">
        <v>1</v>
      </c>
      <c r="C112" s="241">
        <v>5</v>
      </c>
      <c r="D112" s="242">
        <v>1101601</v>
      </c>
      <c r="E112" s="278">
        <f t="shared" si="1"/>
        <v>24.162286607794297</v>
      </c>
      <c r="F112" s="244">
        <f>IF(ISBLANK(D112), "-", E112/$B$56)</f>
        <v>0.96649146431177191</v>
      </c>
    </row>
    <row r="113" spans="1:10" ht="26.25" customHeight="1" x14ac:dyDescent="0.4">
      <c r="A113" s="123" t="s">
        <v>95</v>
      </c>
      <c r="B113" s="124">
        <v>1</v>
      </c>
      <c r="C113" s="245">
        <v>6</v>
      </c>
      <c r="D113" s="246">
        <v>1101651</v>
      </c>
      <c r="E113" s="279">
        <f t="shared" si="1"/>
        <v>24.163383297367375</v>
      </c>
      <c r="F113" s="247">
        <f t="shared" si="2"/>
        <v>0.96653533189469498</v>
      </c>
    </row>
    <row r="114" spans="1:10" ht="26.25" customHeight="1" x14ac:dyDescent="0.4">
      <c r="A114" s="123" t="s">
        <v>96</v>
      </c>
      <c r="B114" s="124">
        <v>1</v>
      </c>
      <c r="C114" s="241"/>
      <c r="D114" s="222"/>
      <c r="E114" s="204"/>
      <c r="F114" s="248"/>
    </row>
    <row r="115" spans="1:10" ht="26.25" customHeight="1" x14ac:dyDescent="0.4">
      <c r="A115" s="123" t="s">
        <v>97</v>
      </c>
      <c r="B115" s="124">
        <v>1</v>
      </c>
      <c r="C115" s="241"/>
      <c r="D115" s="249"/>
      <c r="E115" s="250" t="s">
        <v>66</v>
      </c>
      <c r="F115" s="251">
        <f>AVERAGE(F108:F113)</f>
        <v>0.96314349038308655</v>
      </c>
    </row>
    <row r="116" spans="1:10" ht="27" customHeight="1" thickBot="1" x14ac:dyDescent="0.45">
      <c r="A116" s="123" t="s">
        <v>98</v>
      </c>
      <c r="B116" s="155">
        <f>(B115/B114)*(B113/B112)*(B111/B110)*(B109/B108)*B107</f>
        <v>500</v>
      </c>
      <c r="C116" s="252"/>
      <c r="D116" s="253"/>
      <c r="E116" s="214" t="s">
        <v>79</v>
      </c>
      <c r="F116" s="254">
        <f>STDEV(F108:F113)/F115</f>
        <v>3.6759617469016032E-3</v>
      </c>
      <c r="I116" s="204"/>
    </row>
    <row r="117" spans="1:10" ht="27" customHeight="1" thickBot="1" x14ac:dyDescent="0.45">
      <c r="A117" s="310" t="s">
        <v>73</v>
      </c>
      <c r="B117" s="311"/>
      <c r="C117" s="255"/>
      <c r="D117" s="256"/>
      <c r="E117" s="257" t="s">
        <v>15</v>
      </c>
      <c r="F117" s="258">
        <f>COUNT(F108:F113)</f>
        <v>6</v>
      </c>
      <c r="I117" s="204"/>
      <c r="J117" s="234"/>
    </row>
    <row r="118" spans="1:10" ht="19.5" customHeight="1" thickBot="1" x14ac:dyDescent="0.35">
      <c r="A118" s="312"/>
      <c r="B118" s="313"/>
      <c r="C118" s="204"/>
      <c r="D118" s="204"/>
      <c r="E118" s="204"/>
      <c r="F118" s="222"/>
      <c r="G118" s="204"/>
      <c r="H118" s="204"/>
      <c r="I118" s="204"/>
    </row>
    <row r="119" spans="1:10" ht="18.75" x14ac:dyDescent="0.3">
      <c r="A119" s="267"/>
      <c r="B119" s="119"/>
      <c r="C119" s="204"/>
      <c r="D119" s="204"/>
      <c r="E119" s="204"/>
      <c r="F119" s="222"/>
      <c r="G119" s="204"/>
      <c r="H119" s="204"/>
      <c r="I119" s="204"/>
    </row>
    <row r="120" spans="1:10" ht="26.25" customHeight="1" x14ac:dyDescent="0.4">
      <c r="A120" s="262" t="s">
        <v>101</v>
      </c>
      <c r="B120" s="214" t="s">
        <v>118</v>
      </c>
      <c r="C120" s="314" t="str">
        <f>B20</f>
        <v>Artesunate</v>
      </c>
      <c r="D120" s="314"/>
      <c r="E120" s="204" t="s">
        <v>119</v>
      </c>
      <c r="F120" s="204"/>
      <c r="G120" s="205">
        <f>F115</f>
        <v>0.96314349038308655</v>
      </c>
      <c r="H120" s="204"/>
      <c r="I120" s="204"/>
    </row>
    <row r="121" spans="1:10" ht="19.5" customHeight="1" thickBot="1" x14ac:dyDescent="0.35">
      <c r="A121" s="289"/>
      <c r="B121" s="289"/>
      <c r="C121" s="260"/>
      <c r="D121" s="260"/>
      <c r="E121" s="260"/>
      <c r="F121" s="260"/>
      <c r="G121" s="260"/>
      <c r="H121" s="260"/>
    </row>
    <row r="122" spans="1:10" ht="18.75" x14ac:dyDescent="0.3">
      <c r="B122" s="315" t="s">
        <v>21</v>
      </c>
      <c r="C122" s="315"/>
      <c r="E122" s="287" t="s">
        <v>22</v>
      </c>
      <c r="F122" s="261"/>
      <c r="G122" s="315" t="s">
        <v>23</v>
      </c>
      <c r="H122" s="315"/>
    </row>
    <row r="123" spans="1:10" ht="69.95" customHeight="1" x14ac:dyDescent="0.3">
      <c r="A123" s="262" t="s">
        <v>24</v>
      </c>
      <c r="B123" s="213" t="s">
        <v>120</v>
      </c>
      <c r="C123" s="264"/>
      <c r="E123" s="296">
        <v>42339</v>
      </c>
      <c r="F123" s="204"/>
      <c r="G123" s="264"/>
      <c r="H123" s="264"/>
    </row>
    <row r="124" spans="1:10" ht="69.95" customHeight="1" x14ac:dyDescent="0.3">
      <c r="A124" s="262" t="s">
        <v>25</v>
      </c>
      <c r="B124" s="265"/>
      <c r="C124" s="265"/>
      <c r="E124" s="265"/>
      <c r="F124" s="204"/>
      <c r="G124" s="266"/>
      <c r="H124" s="266"/>
    </row>
    <row r="125" spans="1:10" ht="18.75" x14ac:dyDescent="0.3">
      <c r="A125" s="222"/>
      <c r="B125" s="222"/>
      <c r="C125" s="222"/>
      <c r="D125" s="222"/>
      <c r="E125" s="222"/>
      <c r="F125" s="200"/>
      <c r="G125" s="222"/>
      <c r="H125" s="222"/>
      <c r="I125" s="204"/>
    </row>
    <row r="126" spans="1:10" ht="18.75" x14ac:dyDescent="0.3">
      <c r="A126" s="222"/>
      <c r="B126" s="222"/>
      <c r="C126" s="222"/>
      <c r="D126" s="222"/>
      <c r="E126" s="222"/>
      <c r="F126" s="200"/>
      <c r="G126" s="222"/>
      <c r="H126" s="222"/>
      <c r="I126" s="204"/>
    </row>
    <row r="127" spans="1:10" ht="18.75" x14ac:dyDescent="0.3">
      <c r="A127" s="222"/>
      <c r="B127" s="222"/>
      <c r="C127" s="222"/>
      <c r="D127" s="222"/>
      <c r="E127" s="222"/>
      <c r="F127" s="200"/>
      <c r="G127" s="222"/>
      <c r="H127" s="222"/>
      <c r="I127" s="204"/>
    </row>
    <row r="128" spans="1:10" ht="18.75" x14ac:dyDescent="0.3">
      <c r="A128" s="222"/>
      <c r="B128" s="222"/>
      <c r="C128" s="222"/>
      <c r="D128" s="222"/>
      <c r="E128" s="222"/>
      <c r="F128" s="200"/>
      <c r="G128" s="222"/>
      <c r="H128" s="222"/>
      <c r="I128" s="204"/>
    </row>
    <row r="129" spans="1:9" ht="18.75" x14ac:dyDescent="0.3">
      <c r="A129" s="222"/>
      <c r="B129" s="222"/>
      <c r="C129" s="222"/>
      <c r="D129" s="222"/>
      <c r="E129" s="222"/>
      <c r="F129" s="200"/>
      <c r="G129" s="222"/>
      <c r="H129" s="222"/>
      <c r="I129" s="204"/>
    </row>
    <row r="130" spans="1:9" ht="18.75" x14ac:dyDescent="0.3">
      <c r="A130" s="222"/>
      <c r="B130" s="222"/>
      <c r="C130" s="222"/>
      <c r="D130" s="222"/>
      <c r="E130" s="222"/>
      <c r="F130" s="200"/>
      <c r="G130" s="222"/>
      <c r="H130" s="222"/>
      <c r="I130" s="204"/>
    </row>
    <row r="131" spans="1:9" ht="18.75" x14ac:dyDescent="0.3">
      <c r="A131" s="222"/>
      <c r="B131" s="222"/>
      <c r="C131" s="222"/>
      <c r="D131" s="222"/>
      <c r="E131" s="222"/>
      <c r="F131" s="200"/>
      <c r="G131" s="222"/>
      <c r="H131" s="222"/>
      <c r="I131" s="204"/>
    </row>
    <row r="132" spans="1:9" ht="18.75" x14ac:dyDescent="0.3">
      <c r="A132" s="222"/>
      <c r="B132" s="222"/>
      <c r="C132" s="222"/>
      <c r="D132" s="222"/>
      <c r="E132" s="222"/>
      <c r="F132" s="200"/>
      <c r="G132" s="222"/>
      <c r="H132" s="222"/>
      <c r="I132" s="204"/>
    </row>
    <row r="133" spans="1:9" ht="18.75" x14ac:dyDescent="0.3">
      <c r="A133" s="222"/>
      <c r="B133" s="222"/>
      <c r="C133" s="222"/>
      <c r="D133" s="222"/>
      <c r="E133" s="222"/>
      <c r="F133" s="200"/>
      <c r="G133" s="222"/>
      <c r="H133" s="222"/>
      <c r="I133" s="204"/>
    </row>
    <row r="250" spans="1:1" x14ac:dyDescent="0.25">
      <c r="A250" s="225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2</oddHeader>
    <oddFooter>&amp;LNQCL/ADDO/014&amp;CPage &amp;P of &amp;N&amp;R&amp;D &amp;T</oddFooter>
  </headerFooter>
  <rowBreaks count="1" manualBreakCount="1">
    <brk id="12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SST (AH)</vt:lpstr>
      <vt:lpstr>SST (A)</vt:lpstr>
      <vt:lpstr>Uniformity</vt:lpstr>
      <vt:lpstr>Amodiaquine HCl</vt:lpstr>
      <vt:lpstr>Artesunate</vt:lpstr>
      <vt:lpstr>'Amodiaquine HCl'!Print_Area</vt:lpstr>
      <vt:lpstr>Artesunate!Print_Area</vt:lpstr>
      <vt:lpstr>'SST (AH)'!Print_Area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hp3500</cp:lastModifiedBy>
  <cp:lastPrinted>2015-10-21T09:39:21Z</cp:lastPrinted>
  <dcterms:created xsi:type="dcterms:W3CDTF">2005-07-05T10:19:27Z</dcterms:created>
  <dcterms:modified xsi:type="dcterms:W3CDTF">2015-12-16T05:29:55Z</dcterms:modified>
</cp:coreProperties>
</file>