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Uniformity!$A$1:$H$54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G94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G40" i="5"/>
  <c r="E39" i="5"/>
  <c r="D49" i="5"/>
  <c r="E40" i="5"/>
  <c r="G38" i="5"/>
  <c r="E38" i="5"/>
  <c r="C76" i="5"/>
  <c r="D97" i="5"/>
  <c r="D98" i="5" s="1"/>
  <c r="D99" i="5" s="1"/>
  <c r="C56" i="5"/>
  <c r="B21" i="1"/>
  <c r="G91" i="5" l="1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G42" i="5"/>
  <c r="D51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<sst xmlns="http://schemas.openxmlformats.org/spreadsheetml/2006/main" count="434" uniqueCount="131">
  <si>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</si>
  <si>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</si>
  <si>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</si>
  <si>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</si>
  <si>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</si>
  <si>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</si>
  <si>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</si>
  <si>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</si>
  <si>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</si>
  <si>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</si>
  <si>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</si>
  <si>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</si>
  <si>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</si>
  <si>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</si>
  <si>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</si>
  <si>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</si>
  <si>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</si>
  <si>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</si>
  <si>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</si>
  <si>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</si>
  <si>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</si>
  <si>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</si>
  <si>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</si>
  <si>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</si>
  <si>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</si>
  <si>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</si>
  <si>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</si>
  <si>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</si>
  <si>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</si>
  <si>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</si>
  <si>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</si>
  <si>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</si>
  <si>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</si>
  <si>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</si>
  <si>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</si>
  <si>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</si>
  <si>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</si>
  <si>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</si>
  <si>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</si>
  <si>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</si>
  <si>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</si>
  <si>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</si>
  <si>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</si>
  <si>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</si>
  <si>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</si>
  <si>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</si>
  <si>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</si>
  <si>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</si>
  <si>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</si>
  <si>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</si>
  <si>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</si>
  <si>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</si>
  <si>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</si>
  <si>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</si>
  <si>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</si>
  <si>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</si>
  <si>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</si>
  <si>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</si>
  <si>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</si>
  <si>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</si>
  <si>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</si>
  <si>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</si>
  <si>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</si>
  <si>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</si>
  <si>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</si>
  <si>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</si>
  <si>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</si>
  <si>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</si>
  <si>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</si>
  <si>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</si>
  <si>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</si>
  <si>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</si>
  <si>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</si>
  <si>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</si>
  <si>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</si>
  <si>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</si>
  <si>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</si>
  <si>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</si>
  <si>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</si>
  <si>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</si>
  <si>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</si>
  <si>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</si>
  <si>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</si>
  <si>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</si>
  <si>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</si>
  <si>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</si>
  <si>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</si>
  <si>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</si>
  <si>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</si>
  <si>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</si>
  <si>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</si>
  <si>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</si>
  <si>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</si>
  <si>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</si>
  <si>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</si>
  <si>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</si>
  <si>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</si>
  <si>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</si>
  <si>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</si>
  <si>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</si>
  <si>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</si>
  <si>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</si>
  <si>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</si>
  <si>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</si>
  <si>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</si>
  <si>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</si>
  <si>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</si>
  <si>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</si>
  <si>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</si>
  <si>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</si>
  <si>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</si>
  <si>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</si>
  <si>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</si>
  <si>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</si>
  <si>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</si>
  <si>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</si>
  <si>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</si>
  <si>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</si>
  <si>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</si>
  <si>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</si>
  <si>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</si>
  <si>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</si>
  <si>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</si>
  <si>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</si>
  <si>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</si>
  <si>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</si>
  <si>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</si>
  <si>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</si>
  <si>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</si>
  <si>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</si>
  <si>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>NDQD201508206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</si>
</sst>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39447962</v>
      </c>
      <c r="C24" s="18">
        <v>3024.9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39486658</v>
      </c>
      <c r="C25" s="18">
        <v>3022.9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39793965</v>
      </c>
      <c r="C26" s="18">
        <v>3039.3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39620928</v>
      </c>
      <c r="C27" s="18">
        <v>3059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39441904</v>
      </c>
      <c r="C28" s="18">
        <v>3053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39667647</v>
      </c>
      <c r="C29" s="21">
        <v>3072.2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39576510.666666664</v>
      </c>
      <c r="C30" s="25">
        <f>AVERAGE(C24:C29)</f>
        <v>3045.2166666666667</v>
      </c>
      <c r="D30" s="26">
        <f>AVERAGE(D24:D29)</f>
        <v>1.8166666666666671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3.5784068224919419E-3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39447962</v>
      </c>
      <c r="C45" s="18">
        <v>3024.9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39486658</v>
      </c>
      <c r="C46" s="18">
        <v>3022.9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39793965</v>
      </c>
      <c r="C47" s="18">
        <v>3039.3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39620928</v>
      </c>
      <c r="C48" s="18">
        <v>3059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39441904</v>
      </c>
      <c r="C49" s="18">
        <v>3053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39667647</v>
      </c>
      <c r="C50" s="21">
        <v>3072.2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39576510.666666664</v>
      </c>
      <c r="C51" s="25">
        <f>AVERAGE(C45:C50)</f>
        <v>3045.2166666666667</v>
      </c>
      <c r="D51" s="26">
        <f>AVERAGE(D45:D50)</f>
        <v>1.8166666666666671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3.5784068224919419E-3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1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3314790</v>
      </c>
      <c r="C24" s="18">
        <v>8191.5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3325714</v>
      </c>
      <c r="C25" s="18">
        <v>8185.5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3307872</v>
      </c>
      <c r="C26" s="18">
        <v>8239.7000000000007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3302099</v>
      </c>
      <c r="C27" s="18">
        <v>8230.9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3307267</v>
      </c>
      <c r="C28" s="18">
        <v>8224.6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3316852</v>
      </c>
      <c r="C29" s="21">
        <v>8204.1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3312432.3333333335</v>
      </c>
      <c r="C30" s="25">
        <f>AVERAGE(C24:C29)</f>
        <v>8212.7166666666653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2.5464802704878243E-3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3314790</v>
      </c>
      <c r="C45" s="18">
        <v>8191.5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3325714</v>
      </c>
      <c r="C46" s="18">
        <v>8185.5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3307872</v>
      </c>
      <c r="C47" s="18">
        <v>8239.7000000000007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3302099</v>
      </c>
      <c r="C48" s="18">
        <v>8230.9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3307267</v>
      </c>
      <c r="C49" s="18">
        <v>8224.6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3316852</v>
      </c>
      <c r="C50" s="21">
        <v>8204.1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3312432.3333333335</v>
      </c>
      <c r="C51" s="25">
        <f>AVERAGE(C45:C50)</f>
        <v>8212.7166666666653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2.5464802704878243E-3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130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169.73</v>
      </c>
      <c r="D24" s="86">
        <f t="shared" ref="D24:D43" si="0">(C24-$C$46)/$C$46</f>
        <v>-2.4486969116130106E-2</v>
      </c>
      <c r="E24" s="53"/>
    </row>
    <row r="25" spans="1:5" ht="15.75" customHeight="1" x14ac:dyDescent="0.3">
      <c r="C25" s="94">
        <v>174.36</v>
      </c>
      <c r="D25" s="87">
        <f t="shared" si="0"/>
        <v>2.1236791663911988E-3</v>
      </c>
      <c r="E25" s="53"/>
    </row>
    <row r="26" spans="1:5" ht="15.75" customHeight="1" x14ac:dyDescent="0.3">
      <c r="C26" s="94">
        <v>174.85</v>
      </c>
      <c r="D26" s="87">
        <f t="shared" si="0"/>
        <v>4.9399248809559627E-3</v>
      </c>
      <c r="E26" s="53"/>
    </row>
    <row r="27" spans="1:5" ht="15.75" customHeight="1" x14ac:dyDescent="0.3">
      <c r="C27" s="94">
        <v>173.49</v>
      </c>
      <c r="D27" s="87">
        <f t="shared" si="0"/>
        <v>-2.8765938370199323E-3</v>
      </c>
      <c r="E27" s="53"/>
    </row>
    <row r="28" spans="1:5" ht="15.75" customHeight="1" x14ac:dyDescent="0.3">
      <c r="C28" s="94">
        <v>171.47</v>
      </c>
      <c r="D28" s="87">
        <f t="shared" si="0"/>
        <v>-1.4486423109307844E-2</v>
      </c>
      <c r="E28" s="53"/>
    </row>
    <row r="29" spans="1:5" ht="15.75" customHeight="1" x14ac:dyDescent="0.3">
      <c r="C29" s="94">
        <v>174.79</v>
      </c>
      <c r="D29" s="87">
        <f t="shared" si="0"/>
        <v>4.595078466927598E-3</v>
      </c>
      <c r="E29" s="53"/>
    </row>
    <row r="30" spans="1:5" ht="15.75" customHeight="1" x14ac:dyDescent="0.3">
      <c r="C30" s="94">
        <v>174.66</v>
      </c>
      <c r="D30" s="87">
        <f t="shared" si="0"/>
        <v>3.8479112365328613E-3</v>
      </c>
      <c r="E30" s="53"/>
    </row>
    <row r="31" spans="1:5" ht="15.75" customHeight="1" x14ac:dyDescent="0.3">
      <c r="C31" s="94">
        <v>175.09</v>
      </c>
      <c r="D31" s="87">
        <f t="shared" si="0"/>
        <v>6.3193105370694235E-3</v>
      </c>
      <c r="E31" s="53"/>
    </row>
    <row r="32" spans="1:5" ht="15.75" customHeight="1" x14ac:dyDescent="0.3">
      <c r="C32" s="94">
        <v>175.05</v>
      </c>
      <c r="D32" s="87">
        <f t="shared" si="0"/>
        <v>6.0894129277172344E-3</v>
      </c>
      <c r="E32" s="53"/>
    </row>
    <row r="33" spans="1:7" ht="15.75" customHeight="1" x14ac:dyDescent="0.3">
      <c r="C33" s="94">
        <v>176.09</v>
      </c>
      <c r="D33" s="87">
        <f t="shared" si="0"/>
        <v>1.2066750770875292E-2</v>
      </c>
      <c r="E33" s="53"/>
    </row>
    <row r="34" spans="1:7" ht="15.75" customHeight="1" x14ac:dyDescent="0.3">
      <c r="C34" s="94">
        <v>176.44</v>
      </c>
      <c r="D34" s="87">
        <f t="shared" si="0"/>
        <v>1.4078354852707312E-2</v>
      </c>
      <c r="E34" s="53"/>
    </row>
    <row r="35" spans="1:7" ht="15.75" customHeight="1" x14ac:dyDescent="0.3">
      <c r="C35" s="94">
        <v>175.48</v>
      </c>
      <c r="D35" s="87">
        <f t="shared" si="0"/>
        <v>8.560812228253634E-3</v>
      </c>
      <c r="E35" s="53"/>
    </row>
    <row r="36" spans="1:7" ht="15.75" customHeight="1" x14ac:dyDescent="0.3">
      <c r="C36" s="94">
        <v>175.04</v>
      </c>
      <c r="D36" s="87">
        <f t="shared" si="0"/>
        <v>6.0319385253790646E-3</v>
      </c>
      <c r="E36" s="53"/>
    </row>
    <row r="37" spans="1:7" ht="15.75" customHeight="1" x14ac:dyDescent="0.3">
      <c r="C37" s="94">
        <v>177.12</v>
      </c>
      <c r="D37" s="87">
        <f t="shared" si="0"/>
        <v>1.7986614211695343E-2</v>
      </c>
      <c r="E37" s="53"/>
    </row>
    <row r="38" spans="1:7" ht="15.75" customHeight="1" x14ac:dyDescent="0.3">
      <c r="C38" s="94">
        <v>170.96</v>
      </c>
      <c r="D38" s="87">
        <f t="shared" si="0"/>
        <v>-1.7417617628548786E-2</v>
      </c>
      <c r="E38" s="53"/>
    </row>
    <row r="39" spans="1:7" ht="15.75" customHeight="1" x14ac:dyDescent="0.3">
      <c r="C39" s="94">
        <v>175.54</v>
      </c>
      <c r="D39" s="87">
        <f t="shared" si="0"/>
        <v>8.9056586422819987E-3</v>
      </c>
      <c r="E39" s="53"/>
    </row>
    <row r="40" spans="1:7" ht="15.75" customHeight="1" x14ac:dyDescent="0.3">
      <c r="C40" s="94">
        <v>176.01</v>
      </c>
      <c r="D40" s="87">
        <f t="shared" si="0"/>
        <v>1.160695555217075E-2</v>
      </c>
      <c r="E40" s="53"/>
    </row>
    <row r="41" spans="1:7" ht="15.75" customHeight="1" x14ac:dyDescent="0.3">
      <c r="C41" s="94">
        <v>172.55</v>
      </c>
      <c r="D41" s="87">
        <f t="shared" si="0"/>
        <v>-8.2791876567974345E-3</v>
      </c>
      <c r="E41" s="53"/>
    </row>
    <row r="42" spans="1:7" ht="15.75" customHeight="1" x14ac:dyDescent="0.3">
      <c r="C42" s="94">
        <v>173.05</v>
      </c>
      <c r="D42" s="87">
        <f t="shared" si="0"/>
        <v>-5.4054675398945012E-3</v>
      </c>
      <c r="E42" s="53"/>
    </row>
    <row r="43" spans="1:7" ht="16.5" customHeight="1" x14ac:dyDescent="0.3">
      <c r="C43" s="95">
        <v>168.04</v>
      </c>
      <c r="D43" s="88">
        <f t="shared" si="0"/>
        <v>-3.4200143111262009E-2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3479.8100000000004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173.99050000000003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173.99050000000003</v>
      </c>
      <c r="C49" s="92">
        <f>-IF(C46&lt;=80,10%,IF(C46&lt;250,7.5%,5%))</f>
        <v>-7.4999999999999997E-2</v>
      </c>
      <c r="D49" s="80">
        <f>IF(C46&lt;=80,C46*0.9,IF(C46&lt;250,C46*0.925,C46*0.95))</f>
        <v>160.94121250000003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187.03978750000002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x14ac:dyDescent="0.3">
      <c r="A15" s="97"/>
    </row>
    <row r="16" spans="1:9" ht="19.5" customHeight="1" x14ac:dyDescent="0.3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NDQD201508206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128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08" t="s">
        <v>125</v>
      </c>
      <c r="C26" s="308"/>
    </row>
    <row r="27" spans="1:14" ht="26.25" customHeight="1" x14ac:dyDescent="0.4">
      <c r="A27" s="108" t="s">
        <v>43</v>
      </c>
      <c r="B27" s="314" t="s">
        <v>126</v>
      </c>
      <c r="C27" s="314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38974763</v>
      </c>
      <c r="E38" s="132">
        <f>IF(ISBLANK(D38),"-",$D$48/$D$45*D38)</f>
        <v>36101439.417377517</v>
      </c>
      <c r="F38" s="131">
        <v>32978005</v>
      </c>
      <c r="G38" s="133">
        <f>IF(ISBLANK(F38),"-",$D$48/$F$45*F38)</f>
        <v>35906249.299259871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38942886</v>
      </c>
      <c r="E39" s="137">
        <f>IF(ISBLANK(D39),"-",$D$48/$D$45*D39)</f>
        <v>36071912.474922277</v>
      </c>
      <c r="F39" s="136">
        <v>33132868</v>
      </c>
      <c r="G39" s="138">
        <f>IF(ISBLANK(F39),"-",$D$48/$F$45*F39)</f>
        <v>36074863.182520285</v>
      </c>
      <c r="I39" s="324">
        <f>ABS((F43/D43*D42)-F42)/D42</f>
        <v>5.0414403033867562E-3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39534388</v>
      </c>
      <c r="E40" s="137">
        <f>IF(ISBLANK(D40),"-",$D$48/$D$45*D40)</f>
        <v>36619807.368298732</v>
      </c>
      <c r="F40" s="136">
        <v>33217805</v>
      </c>
      <c r="G40" s="138">
        <f>IF(ISBLANK(F40),"-",$D$48/$F$45*F40)</f>
        <v>36167342.066453114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39150679</v>
      </c>
      <c r="E42" s="147">
        <f>AVERAGE(E38:E41)</f>
        <v>36264386.420199513</v>
      </c>
      <c r="F42" s="146">
        <f>AVERAGE(F38:F41)</f>
        <v>33109559.333333332</v>
      </c>
      <c r="G42" s="148">
        <f>AVERAGE(G38:G41)</f>
        <v>36049484.849411093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16.28</v>
      </c>
      <c r="E43" s="139"/>
      <c r="F43" s="151">
        <v>13.85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13.508386856036756</v>
      </c>
      <c r="E44" s="154"/>
      <c r="F44" s="153">
        <f>F43*$B$34</f>
        <v>11.492085869539869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13.494878469180719</v>
      </c>
      <c r="E45" s="157"/>
      <c r="F45" s="156">
        <f>F44*$B$30/100</f>
        <v>11.480593783670329</v>
      </c>
      <c r="H45" s="149"/>
    </row>
    <row r="46" spans="1:14" ht="19.5" customHeight="1" x14ac:dyDescent="0.3">
      <c r="A46" s="325" t="s">
        <v>73</v>
      </c>
      <c r="B46" s="326"/>
      <c r="C46" s="152" t="s">
        <v>74</v>
      </c>
      <c r="D46" s="158">
        <f>D45/$B$45</f>
        <v>0.2159180555068915</v>
      </c>
      <c r="E46" s="159"/>
      <c r="F46" s="160">
        <f>F45/$B$45</f>
        <v>0.18368950053872526</v>
      </c>
      <c r="H46" s="149"/>
    </row>
    <row r="47" spans="1:14" ht="27" customHeight="1" x14ac:dyDescent="0.4">
      <c r="A47" s="327"/>
      <c r="B47" s="328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36156935.634805299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6.7093319236922657E-3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173.99050000000003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9" t="s">
        <v>89</v>
      </c>
      <c r="D60" s="332">
        <v>174.52</v>
      </c>
      <c r="E60" s="181">
        <v>1</v>
      </c>
      <c r="F60" s="182">
        <v>43011315</v>
      </c>
      <c r="G60" s="271">
        <f>IF(ISBLANK(F60),"-",(F60/$D$50*$D$47*$B$68)*($B$57/$D$60))</f>
        <v>74.12273807196101</v>
      </c>
      <c r="H60" s="183">
        <f>IF(ISBLANK(F60),"-",G60/$B$56)</f>
        <v>1.0981146381031262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30"/>
      <c r="D61" s="333"/>
      <c r="E61" s="184">
        <v>2</v>
      </c>
      <c r="F61" s="136">
        <v>43250138</v>
      </c>
      <c r="G61" s="272">
        <f>IF(ISBLANK(F61),"-",(F61/$D$50*$D$47*$B$68)*($B$57/$D$60))</f>
        <v>74.534309182366727</v>
      </c>
      <c r="H61" s="185">
        <f t="shared" ref="H61:H71" si="0">IF(ISBLANK(F61),"-",G61/$B$56)</f>
        <v>1.1042119878869145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43055857</v>
      </c>
      <c r="G62" s="272">
        <f>IF(ISBLANK(F62),"-",(F62/$D$50*$D$47*$B$68)*($B$57/$D$60))</f>
        <v>74.199498687143347</v>
      </c>
      <c r="H62" s="185">
        <f t="shared" si="0"/>
        <v>1.0992518324021237</v>
      </c>
      <c r="L62" s="111"/>
    </row>
    <row r="63" spans="1:12" ht="27" customHeight="1" x14ac:dyDescent="0.4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169.69</v>
      </c>
      <c r="E64" s="181">
        <v>1</v>
      </c>
      <c r="F64" s="182">
        <v>41174755</v>
      </c>
      <c r="G64" s="273">
        <f>IF(ISBLANK(F64),"-",(F64/$D$50*$D$47*$B$68)*($B$57/$D$64))</f>
        <v>72.977454595800523</v>
      </c>
      <c r="H64" s="189">
        <f>IF(ISBLANK(F64),"-",G64/$B$56)</f>
        <v>1.081147475493341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40774505</v>
      </c>
      <c r="G65" s="274">
        <f>IF(ISBLANK(F65),"-",(F65/$D$50*$D$47*$B$68)*($B$57/$D$64))</f>
        <v>72.268058117255137</v>
      </c>
      <c r="H65" s="190">
        <f t="shared" si="0"/>
        <v>1.0706378980334095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40912016</v>
      </c>
      <c r="G66" s="274">
        <f>IF(ISBLANK(F66),"-",(F66/$D$50*$D$47*$B$68)*($B$57/$D$64))</f>
        <v>72.511780338769825</v>
      </c>
      <c r="H66" s="190">
        <f t="shared" si="0"/>
        <v>1.0742485976114049</v>
      </c>
    </row>
    <row r="67" spans="1:8" ht="27" customHeight="1" x14ac:dyDescent="0.4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9" t="s">
        <v>99</v>
      </c>
      <c r="D68" s="332">
        <v>176.45</v>
      </c>
      <c r="E68" s="181">
        <v>1</v>
      </c>
      <c r="F68" s="182">
        <v>42822909</v>
      </c>
      <c r="G68" s="273">
        <f>IF(ISBLANK(F68),"-",(F68/$D$50*$D$47*$B$68)*($B$57/$D$68))</f>
        <v>72.990853276941152</v>
      </c>
      <c r="H68" s="185">
        <f>IF(ISBLANK(F68),"-",G68/$B$56)</f>
        <v>1.0813459744732024</v>
      </c>
    </row>
    <row r="69" spans="1:8" ht="27" customHeight="1" x14ac:dyDescent="0.4">
      <c r="A69" s="171" t="s">
        <v>100</v>
      </c>
      <c r="B69" s="193">
        <f>(D47*B68)/B56*B57</f>
        <v>161.10231481481483</v>
      </c>
      <c r="C69" s="330"/>
      <c r="D69" s="333"/>
      <c r="E69" s="184">
        <v>2</v>
      </c>
      <c r="F69" s="136">
        <v>41979942</v>
      </c>
      <c r="G69" s="274">
        <f>IF(ISBLANK(F69),"-",(F69/$D$50*$D$47*$B$68)*($B$57/$D$68))</f>
        <v>71.554031677215107</v>
      </c>
      <c r="H69" s="185">
        <f t="shared" si="0"/>
        <v>1.0600597285513349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42666169</v>
      </c>
      <c r="G70" s="274">
        <f>IF(ISBLANK(F70),"-",(F70/$D$50*$D$47*$B$68)*($B$57/$D$68))</f>
        <v>72.723692857208164</v>
      </c>
      <c r="H70" s="185">
        <f t="shared" si="0"/>
        <v>1.0773880423290099</v>
      </c>
    </row>
    <row r="71" spans="1:8" ht="27" customHeight="1" x14ac:dyDescent="0.4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1.0829340194315409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1.360204160292495E-2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37" t="str">
        <f>B20</f>
        <v>Amodiaquine</v>
      </c>
      <c r="D76" s="337"/>
      <c r="E76" s="204" t="s">
        <v>103</v>
      </c>
      <c r="F76" s="204"/>
      <c r="G76" s="205">
        <f>H72</f>
        <v>1.0829340194315409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14" t="str">
        <f>B26</f>
        <v>Amodiaquine HCl</v>
      </c>
      <c r="C79" s="314"/>
    </row>
    <row r="80" spans="1:8" ht="26.25" customHeight="1" x14ac:dyDescent="0.4">
      <c r="A80" s="108" t="s">
        <v>43</v>
      </c>
      <c r="B80" s="314" t="str">
        <f>B27</f>
        <v>A7 1</v>
      </c>
      <c r="C80" s="314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1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23809719</v>
      </c>
      <c r="E91" s="132">
        <f>IF(ISBLANK(D91),"-",$D$101/$D$98*D91)</f>
        <v>27568003.685592726</v>
      </c>
      <c r="F91" s="281">
        <v>20031957</v>
      </c>
      <c r="G91" s="133">
        <f>IF(ISBLANK(F91),"-",$D$101/$F$98*F91)</f>
        <v>27263339.686332371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23471687</v>
      </c>
      <c r="E92" s="137">
        <f>IF(ISBLANK(D92),"-",$D$101/$D$98*D92)</f>
        <v>27176614.46248395</v>
      </c>
      <c r="F92" s="282">
        <v>20209168</v>
      </c>
      <c r="G92" s="138">
        <f>IF(ISBLANK(F92),"-",$D$101/$F$98*F92)</f>
        <v>27504522.496836338</v>
      </c>
      <c r="I92" s="324">
        <f>ABS((F96/D96*D95)-F95)/D95</f>
        <v>6.8901079340253175E-3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23469451</v>
      </c>
      <c r="E93" s="137">
        <f>IF(ISBLANK(D93),"-",$D$101/$D$98*D93)</f>
        <v>27174025.517345998</v>
      </c>
      <c r="F93" s="282">
        <v>20436735</v>
      </c>
      <c r="G93" s="138">
        <f>IF(ISBLANK(F93),"-",$D$101/$F$98*F93)</f>
        <v>27814239.436743885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23583619</v>
      </c>
      <c r="E95" s="147">
        <f>AVERAGE(E91:E94)</f>
        <v>27306214.555140894</v>
      </c>
      <c r="F95" s="216">
        <f>AVERAGE(F91:F94)</f>
        <v>20225953.333333332</v>
      </c>
      <c r="G95" s="217">
        <f>AVERAGE(G91:G94)</f>
        <v>27527367.206637532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16.28</v>
      </c>
      <c r="E96" s="139"/>
      <c r="F96" s="151">
        <v>13.85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13.508386856036756</v>
      </c>
      <c r="E97" s="154"/>
      <c r="F97" s="153">
        <f>F96*$B$87</f>
        <v>11.492085869539869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13.494878469180719</v>
      </c>
      <c r="E98" s="157"/>
      <c r="F98" s="156">
        <f>F97*$B$83/100</f>
        <v>11.480593783670329</v>
      </c>
    </row>
    <row r="99" spans="1:10" ht="19.5" customHeight="1" x14ac:dyDescent="0.3">
      <c r="A99" s="325" t="s">
        <v>73</v>
      </c>
      <c r="B99" s="339"/>
      <c r="C99" s="220" t="s">
        <v>111</v>
      </c>
      <c r="D99" s="224">
        <f>D98/$B$98</f>
        <v>6.4775416652067444E-2</v>
      </c>
      <c r="E99" s="157"/>
      <c r="F99" s="160">
        <f>F98/$B$98</f>
        <v>5.5106850161617579E-2</v>
      </c>
      <c r="G99" s="225"/>
      <c r="H99" s="149"/>
    </row>
    <row r="100" spans="1:10" ht="19.5" customHeight="1" x14ac:dyDescent="0.3">
      <c r="A100" s="327"/>
      <c r="B100" s="340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27416790.880889211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9.351786877630431E-3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26354288</v>
      </c>
      <c r="E108" s="277">
        <f t="shared" ref="E108:E113" si="1">IF(ISBLANK(D108),"-",D108/$D$103*$D$100*$B$116)</f>
        <v>64.884123299783667</v>
      </c>
      <c r="F108" s="243">
        <f>IF(ISBLANK(D108), "-", E108/$B$56)</f>
        <v>0.96124627110790617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25846240</v>
      </c>
      <c r="E109" s="278">
        <f t="shared" si="1"/>
        <v>63.633311702285425</v>
      </c>
      <c r="F109" s="244">
        <f t="shared" ref="F109:F113" si="2">IF(ISBLANK(D109), "-", E109/$B$56)</f>
        <v>0.94271572892274702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26555205</v>
      </c>
      <c r="E110" s="278">
        <f t="shared" si="1"/>
        <v>65.378779934067339</v>
      </c>
      <c r="F110" s="244">
        <f>IF(ISBLANK(D110), "-", E110/$B$56)</f>
        <v>0.9685745175417384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26744239</v>
      </c>
      <c r="E111" s="278">
        <f t="shared" si="1"/>
        <v>65.844180682660934</v>
      </c>
      <c r="F111" s="244">
        <f t="shared" si="2"/>
        <v>0.97546934344682867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25913975</v>
      </c>
      <c r="E112" s="278">
        <f t="shared" si="1"/>
        <v>63.800074928509225</v>
      </c>
      <c r="F112" s="244">
        <f>IF(ISBLANK(D112), "-", E112/$B$56)</f>
        <v>0.94518629523717368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26595432</v>
      </c>
      <c r="E113" s="279">
        <f t="shared" si="1"/>
        <v>65.47781860390279</v>
      </c>
      <c r="F113" s="247">
        <f t="shared" si="2"/>
        <v>0.97004175709485618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0.96053898555854167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1.421114790387723E-2</v>
      </c>
      <c r="I116" s="97"/>
    </row>
    <row r="117" spans="1:10" ht="27" customHeight="1" x14ac:dyDescent="0.4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7"/>
      <c r="B118" s="32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37" t="str">
        <f>B20</f>
        <v>Amodiaquine</v>
      </c>
      <c r="D120" s="337"/>
      <c r="E120" s="204" t="s">
        <v>119</v>
      </c>
      <c r="F120" s="204"/>
      <c r="G120" s="205">
        <f>F115</f>
        <v>0.96053898555854167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10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thickBot="1" x14ac:dyDescent="0.35">
      <c r="A15" s="204"/>
    </row>
    <row r="16" spans="1:9" ht="19.5" customHeight="1" thickBot="1" x14ac:dyDescent="0.35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NDQD201508206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124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08" t="s">
        <v>124</v>
      </c>
      <c r="C26" s="308"/>
    </row>
    <row r="27" spans="1:14" ht="26.25" customHeight="1" x14ac:dyDescent="0.4">
      <c r="A27" s="214" t="s">
        <v>43</v>
      </c>
      <c r="B27" s="314" t="s">
        <v>127</v>
      </c>
      <c r="C27" s="314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3292437</v>
      </c>
      <c r="E38" s="132">
        <f>IF(ISBLANK(D38),"-",$D$48/$D$45*D38)</f>
        <v>2938100.5987414783</v>
      </c>
      <c r="F38" s="131">
        <v>3741173</v>
      </c>
      <c r="G38" s="133">
        <f>IF(ISBLANK(F38),"-",$D$48/$F$45*F38)</f>
        <v>2941097.4400821365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3298779</v>
      </c>
      <c r="E39" s="137">
        <f>IF(ISBLANK(D39),"-",$D$48/$D$45*D39)</f>
        <v>2943760.0643583508</v>
      </c>
      <c r="F39" s="136">
        <v>3742392</v>
      </c>
      <c r="G39" s="138">
        <f>IF(ISBLANK(F39),"-",$D$48/$F$45*F39)</f>
        <v>2942055.7485536933</v>
      </c>
      <c r="I39" s="324">
        <f>ABS((F43/D43*D42)-F42)/D42</f>
        <v>1.7260904418296935E-3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3322752</v>
      </c>
      <c r="E40" s="137">
        <f>IF(ISBLANK(D40),"-",$D$48/$D$45*D40)</f>
        <v>2965153.0585610126</v>
      </c>
      <c r="F40" s="136">
        <v>3753016</v>
      </c>
      <c r="G40" s="138">
        <f>IF(ISBLANK(F40),"-",$D$48/$F$45*F40)</f>
        <v>2950407.7331327097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3304656</v>
      </c>
      <c r="E42" s="147">
        <f>AVERAGE(E38:E41)</f>
        <v>2949004.5738869472</v>
      </c>
      <c r="F42" s="146">
        <f>AVERAGE(F38:F41)</f>
        <v>3745527</v>
      </c>
      <c r="G42" s="148">
        <f>AVERAGE(G38:G41)</f>
        <v>2944520.3072561794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22.57</v>
      </c>
      <c r="E43" s="204"/>
      <c r="F43" s="151">
        <v>25.62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22.57</v>
      </c>
      <c r="E44" s="222"/>
      <c r="F44" s="153">
        <f>F43*$B$34</f>
        <v>25.62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22.412009999999999</v>
      </c>
      <c r="E45" s="200"/>
      <c r="F45" s="156">
        <f>F44*$B$30/100</f>
        <v>25.440659999999998</v>
      </c>
      <c r="H45" s="149"/>
    </row>
    <row r="46" spans="1:14" ht="19.5" customHeight="1" thickBot="1" x14ac:dyDescent="0.35">
      <c r="A46" s="325" t="s">
        <v>73</v>
      </c>
      <c r="B46" s="326"/>
      <c r="C46" s="152" t="s">
        <v>74</v>
      </c>
      <c r="D46" s="158">
        <f>D45/$B$45</f>
        <v>4.4824019999999996</v>
      </c>
      <c r="E46" s="159"/>
      <c r="F46" s="160">
        <f>F45/$B$45</f>
        <v>5.0881319999999999</v>
      </c>
      <c r="H46" s="149"/>
    </row>
    <row r="47" spans="1:14" ht="27" customHeight="1" thickBot="1" x14ac:dyDescent="0.45">
      <c r="A47" s="327"/>
      <c r="B47" s="328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2946762.4405715633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3.3587277331698509E-3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173.99050000000003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9" t="s">
        <v>89</v>
      </c>
      <c r="D60" s="332">
        <v>172.53</v>
      </c>
      <c r="E60" s="181">
        <v>1</v>
      </c>
      <c r="F60" s="182">
        <v>3419355</v>
      </c>
      <c r="G60" s="271">
        <f>IF(ISBLANK(F60),"-",(F60/$D$50*$D$47*$B$68)*($B$57/$D$60))</f>
        <v>23.403993871526939</v>
      </c>
      <c r="H60" s="183">
        <f>IF(ISBLANK(F60),"-",G60/$B$56)</f>
        <v>0.93615975486107761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30"/>
      <c r="D61" s="333"/>
      <c r="E61" s="184">
        <v>2</v>
      </c>
      <c r="F61" s="136">
        <v>3431480</v>
      </c>
      <c r="G61" s="272">
        <f>IF(ISBLANK(F61),"-",(F61/$D$50*$D$47*$B$68)*($B$57/$D$60))</f>
        <v>23.486984209088341</v>
      </c>
      <c r="H61" s="185">
        <f t="shared" ref="H61:H71" si="0">IF(ISBLANK(F61),"-",G61/$B$56)</f>
        <v>0.93947936836353363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3434056</v>
      </c>
      <c r="G62" s="272">
        <f>IF(ISBLANK(F62),"-",(F62/$D$50*$D$47*$B$68)*($B$57/$D$60))</f>
        <v>23.50461580575293</v>
      </c>
      <c r="H62" s="185">
        <f t="shared" si="0"/>
        <v>0.94018463223011717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173.62</v>
      </c>
      <c r="E64" s="181">
        <v>1</v>
      </c>
      <c r="F64" s="182">
        <v>3386000</v>
      </c>
      <c r="G64" s="273">
        <f>IF(ISBLANK(F64),"-",(F64/$D$50*$D$47*$B$68)*($B$57/$D$64))</f>
        <v>23.030194617723197</v>
      </c>
      <c r="H64" s="189">
        <f>IF(ISBLANK(F64),"-",G64/$B$56)</f>
        <v>0.92120778470892783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3394831</v>
      </c>
      <c r="G65" s="274">
        <f>IF(ISBLANK(F65),"-",(F65/$D$50*$D$47*$B$68)*($B$57/$D$64))</f>
        <v>23.090259487383303</v>
      </c>
      <c r="H65" s="190">
        <f t="shared" si="0"/>
        <v>0.92361037949533209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3395562</v>
      </c>
      <c r="G66" s="274">
        <f>IF(ISBLANK(F66),"-",(F66/$D$50*$D$47*$B$68)*($B$57/$D$64))</f>
        <v>23.095231452021679</v>
      </c>
      <c r="H66" s="190">
        <f t="shared" si="0"/>
        <v>0.92380925808086711</v>
      </c>
    </row>
    <row r="67" spans="1:8" ht="27" customHeight="1" thickBot="1" x14ac:dyDescent="0.45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9" t="s">
        <v>99</v>
      </c>
      <c r="D68" s="332">
        <v>178.68</v>
      </c>
      <c r="E68" s="181">
        <v>1</v>
      </c>
      <c r="F68" s="182">
        <v>3527475</v>
      </c>
      <c r="G68" s="273">
        <f>IF(ISBLANK(F68),"-",(F68/$D$50*$D$47*$B$68)*($B$57/$D$68))</f>
        <v>23.313013051450227</v>
      </c>
      <c r="H68" s="185">
        <f>IF(ISBLANK(F68),"-",G68/$B$56)</f>
        <v>0.93252052205800906</v>
      </c>
    </row>
    <row r="69" spans="1:8" ht="27" customHeight="1" thickBot="1" x14ac:dyDescent="0.45">
      <c r="A69" s="171" t="s">
        <v>100</v>
      </c>
      <c r="B69" s="193">
        <f>(D47*B68)/B56*B57</f>
        <v>139.19240000000002</v>
      </c>
      <c r="C69" s="330"/>
      <c r="D69" s="333"/>
      <c r="E69" s="184">
        <v>2</v>
      </c>
      <c r="F69" s="136">
        <v>3522777</v>
      </c>
      <c r="G69" s="274">
        <f>IF(ISBLANK(F69),"-",(F69/$D$50*$D$47*$B$68)*($B$57/$D$68))</f>
        <v>23.281964061644285</v>
      </c>
      <c r="H69" s="185">
        <f t="shared" si="0"/>
        <v>0.93127856246577134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3539996</v>
      </c>
      <c r="G70" s="274">
        <f>IF(ISBLANK(F70),"-",(F70/$D$50*$D$47*$B$68)*($B$57/$D$68))</f>
        <v>23.395764094736773</v>
      </c>
      <c r="H70" s="185">
        <f t="shared" si="0"/>
        <v>0.93583056378947094</v>
      </c>
    </row>
    <row r="71" spans="1:8" ht="27" customHeight="1" thickBot="1" x14ac:dyDescent="0.45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0.93156453622812307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7.6654629593589079E-3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37" t="str">
        <f>B20</f>
        <v>Artesunate</v>
      </c>
      <c r="D76" s="337"/>
      <c r="E76" s="204" t="s">
        <v>103</v>
      </c>
      <c r="F76" s="204"/>
      <c r="G76" s="205">
        <f>H72</f>
        <v>0.93156453622812307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14" t="str">
        <f>B26</f>
        <v>Artesunate</v>
      </c>
      <c r="C79" s="314"/>
    </row>
    <row r="80" spans="1:8" ht="26.25" customHeight="1" x14ac:dyDescent="0.4">
      <c r="A80" s="214" t="s">
        <v>43</v>
      </c>
      <c r="B80" s="314" t="str">
        <f>B27</f>
        <v>A15 2</v>
      </c>
      <c r="C80" s="314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1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1021335</v>
      </c>
      <c r="E91" s="132">
        <f>IF(ISBLANK(D91),"-",$D$101/$D$98*D91)</f>
        <v>1139271.9796216404</v>
      </c>
      <c r="F91" s="281">
        <v>1157050</v>
      </c>
      <c r="G91" s="133">
        <f>IF(ISBLANK(F91),"-",$D$101/$F$98*F91)</f>
        <v>1137008.6310653891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1037408</v>
      </c>
      <c r="E92" s="137">
        <f>IF(ISBLANK(D92),"-",$D$101/$D$98*D92)</f>
        <v>1157200.982865883</v>
      </c>
      <c r="F92" s="282">
        <v>1153283</v>
      </c>
      <c r="G92" s="138">
        <f>IF(ISBLANK(F92),"-",$D$101/$F$98*F92)</f>
        <v>1133306.8796171169</v>
      </c>
      <c r="I92" s="324">
        <f>ABS((F96/D96*D95)-F95)/D95</f>
        <v>1.0030393744065539E-2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1020269</v>
      </c>
      <c r="E93" s="137">
        <f>IF(ISBLANK(D93),"-",$D$101/$D$98*D93)</f>
        <v>1138082.8850245918</v>
      </c>
      <c r="F93" s="282">
        <v>1153878</v>
      </c>
      <c r="G93" s="138">
        <f>IF(ISBLANK(F93),"-",$D$101/$F$98*F93)</f>
        <v>1133891.573567667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1026337.3333333334</v>
      </c>
      <c r="E95" s="147">
        <f>AVERAGE(E91:E94)</f>
        <v>1144851.9491707052</v>
      </c>
      <c r="F95" s="216">
        <f>AVERAGE(F91:F94)</f>
        <v>1154737</v>
      </c>
      <c r="G95" s="217">
        <f>AVERAGE(G91:G94)</f>
        <v>1134735.6947500578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22.57</v>
      </c>
      <c r="E96" s="204"/>
      <c r="F96" s="151">
        <v>25.62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22.57</v>
      </c>
      <c r="E97" s="222"/>
      <c r="F97" s="153">
        <f>F96*$B$87</f>
        <v>25.62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22.412009999999999</v>
      </c>
      <c r="E98" s="200"/>
      <c r="F98" s="156">
        <f>F97*$B$83/100</f>
        <v>25.440659999999998</v>
      </c>
    </row>
    <row r="99" spans="1:10" ht="19.5" customHeight="1" thickBot="1" x14ac:dyDescent="0.35">
      <c r="A99" s="325" t="s">
        <v>73</v>
      </c>
      <c r="B99" s="339"/>
      <c r="C99" s="220" t="s">
        <v>111</v>
      </c>
      <c r="D99" s="224">
        <f>D98/$B$98</f>
        <v>4.4824019999999999E-2</v>
      </c>
      <c r="E99" s="200"/>
      <c r="F99" s="160">
        <f>F98/$B$98</f>
        <v>5.0881319999999994E-2</v>
      </c>
      <c r="H99" s="149"/>
    </row>
    <row r="100" spans="1:10" ht="19.5" customHeight="1" thickBot="1" x14ac:dyDescent="0.35">
      <c r="A100" s="327"/>
      <c r="B100" s="340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1139793.8219603815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7.757328049680429E-3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1025349</v>
      </c>
      <c r="E108" s="277">
        <f t="shared" ref="E108:E113" si="1">IF(ISBLANK(D108),"-",D108/$D$103*$D$100*$B$116)</f>
        <v>22.489791141270999</v>
      </c>
      <c r="F108" s="243">
        <f>IF(ISBLANK(D108), "-", E108/$B$56)</f>
        <v>0.89959164565083993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1043530</v>
      </c>
      <c r="E109" s="278">
        <f t="shared" si="1"/>
        <v>22.888569403832769</v>
      </c>
      <c r="F109" s="244">
        <f t="shared" ref="F109:F113" si="2">IF(ISBLANK(D109), "-", E109/$B$56)</f>
        <v>0.9155427761533107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1045840</v>
      </c>
      <c r="E110" s="278">
        <f t="shared" si="1"/>
        <v>22.939236462108866</v>
      </c>
      <c r="F110" s="244">
        <f>IF(ISBLANK(D110), "-", E110/$B$56)</f>
        <v>0.91756945848435467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1072920</v>
      </c>
      <c r="E111" s="278">
        <f t="shared" si="1"/>
        <v>23.533203534886638</v>
      </c>
      <c r="F111" s="244">
        <f t="shared" si="2"/>
        <v>0.9413281413954655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1043712</v>
      </c>
      <c r="E112" s="278">
        <f t="shared" si="1"/>
        <v>22.892561353878765</v>
      </c>
      <c r="F112" s="244">
        <f>IF(ISBLANK(D112), "-", E112/$B$56)</f>
        <v>0.91570245415515061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1043405</v>
      </c>
      <c r="E113" s="279">
        <f t="shared" si="1"/>
        <v>22.885827679900078</v>
      </c>
      <c r="F113" s="247">
        <f t="shared" si="2"/>
        <v>0.91543310719600313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0.91752793050585424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1.4620909376735847E-2</v>
      </c>
      <c r="I116" s="204"/>
    </row>
    <row r="117" spans="1:10" ht="27" customHeight="1" thickBot="1" x14ac:dyDescent="0.45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7"/>
      <c r="B118" s="328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37" t="str">
        <f>B20</f>
        <v>Artesunate</v>
      </c>
      <c r="D120" s="337"/>
      <c r="E120" s="204" t="s">
        <v>119</v>
      </c>
      <c r="F120" s="204"/>
      <c r="G120" s="205">
        <f>F115</f>
        <v>0.91752793050585424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87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2015-12-09T09:04:07Z</cp:lastPrinted>
  <dcterms:created xsi:type="dcterms:W3CDTF">2005-07-05T10:19:27Z</dcterms:created>
  <dcterms:modified xsi:type="dcterms:W3CDTF">2015-12-09T09:05:27Z</dcterms:modified>
</cp:coreProperties>
</file>