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3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HCl'!$A$1:$N$125</definedName>
    <definedName name="_xlnm.Print_Area" localSheetId="4">Artesunate!$A$1:$N$125</definedName>
    <definedName name="_xlnm.Print_Area" localSheetId="0">'SST (AH)'!$A$1:$F$61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B21" i="1"/>
  <c r="G38" i="5" l="1"/>
  <c r="G40" i="5"/>
  <c r="G91" i="5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<sst xmlns="http://schemas.openxmlformats.org/spreadsheetml/2006/main" count="435" uniqueCount="132">
  <si>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</si>
  <si>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</si>
  <si>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</si>
  <si>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</si>
  <si>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</si>
  <si>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</si>
  <si>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</si>
  <si>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</si>
  <si>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</si>
  <si>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</si>
  <si>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</si>
  <si>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</si>
  <si>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</si>
  <si>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</si>
  <si>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</si>
  <si>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</si>
  <si>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</si>
  <si>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</si>
  <si>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</si>
  <si>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</si>
  <si>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</si>
  <si>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</si>
  <si>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</si>
  <si>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</si>
  <si>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</si>
  <si>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</si>
  <si>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</si>
  <si>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</si>
  <si>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</si>
  <si>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</si>
  <si>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</si>
  <si>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</si>
  <si>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</si>
  <si>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</si>
  <si>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</si>
  <si>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</si>
  <si>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</si>
  <si>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</si>
  <si>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</si>
  <si>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</si>
  <si>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</si>
  <si>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</si>
  <si>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</si>
  <si>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</si>
  <si>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</si>
  <si>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</si>
  <si>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</si>
  <si>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</si>
  <si>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</si>
  <si>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</si>
  <si>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</si>
  <si>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</si>
  <si>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</si>
  <si>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</si>
  <si>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</si>
  <si>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</si>
  <si>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</si>
  <si>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</si>
  <si>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</si>
  <si>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</si>
  <si>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</si>
  <si>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</si>
  <si>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</si>
  <si>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</si>
  <si>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</si>
  <si>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</si>
  <si>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</si>
  <si>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</si>
  <si>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</si>
  <si>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</si>
  <si>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</si>
  <si>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</si>
  <si>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</si>
  <si>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</si>
  <si>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</si>
  <si>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</si>
  <si>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</si>
  <si>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</si>
  <si>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</si>
  <si>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</si>
  <si>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</si>
  <si>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</si>
  <si>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</si>
  <si>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</si>
  <si>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</si>
  <si>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</si>
  <si>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</si>
  <si>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</si>
  <si>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</si>
  <si>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</si>
  <si>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</si>
  <si>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</si>
  <si>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</si>
  <si>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</si>
  <si>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</si>
  <si>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</si>
  <si>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</si>
  <si>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</si>
  <si>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</si>
  <si>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</si>
  <si>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</si>
  <si>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</si>
  <si>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</si>
  <si>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</si>
  <si>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</si>
  <si>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</si>
  <si>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</si>
  <si>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</si>
  <si>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</si>
  <si>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</si>
  <si>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</si>
  <si>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</si>
  <si>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</si>
  <si>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</si>
  <si>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</si>
  <si>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</si>
  <si>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</si>
  <si>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</si>
  <si>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</si>
  <si>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</si>
  <si>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</si>
  <si>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</si>
  <si>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</si>
  <si>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</si>
  <si>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</si>
  <si>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</si>
  <si>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</si>
  <si>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</si>
  <si>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</si>
  <si>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</si>
  <si>
    <t xml:space="preserve"> </t>
  </si>
  <si>
    <t>NDQD201508208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</si>
</sst>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1" zoomScale="80" zoomScaleNormal="100" zoomScaleSheetLayoutView="80" workbookViewId="0">
      <selection activeCell="D39" sqref="D39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29203065</v>
      </c>
      <c r="C24" s="18">
        <v>2850.7</v>
      </c>
      <c r="D24" s="19">
        <v>1.9</v>
      </c>
      <c r="E24" s="20">
        <v>2</v>
      </c>
    </row>
    <row r="25" spans="1:5" ht="16.5" customHeight="1" x14ac:dyDescent="0.3">
      <c r="A25" s="17">
        <v>2</v>
      </c>
      <c r="B25" s="18">
        <v>29476354</v>
      </c>
      <c r="C25" s="18">
        <v>2840.5</v>
      </c>
      <c r="D25" s="19">
        <v>1.9</v>
      </c>
      <c r="E25" s="19">
        <v>2</v>
      </c>
    </row>
    <row r="26" spans="1:5" ht="16.5" customHeight="1" x14ac:dyDescent="0.3">
      <c r="A26" s="17">
        <v>3</v>
      </c>
      <c r="B26" s="18">
        <v>29358341</v>
      </c>
      <c r="C26" s="18">
        <v>2905.9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29400085</v>
      </c>
      <c r="C27" s="18">
        <v>2855.3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29225054</v>
      </c>
      <c r="C28" s="18">
        <v>2872.1</v>
      </c>
      <c r="D28" s="19">
        <v>1.9</v>
      </c>
      <c r="E28" s="19">
        <v>2</v>
      </c>
    </row>
    <row r="29" spans="1:5" ht="16.5" customHeight="1" x14ac:dyDescent="0.3">
      <c r="A29" s="17">
        <v>6</v>
      </c>
      <c r="B29" s="21">
        <v>29533270</v>
      </c>
      <c r="C29" s="21">
        <v>2855.9</v>
      </c>
      <c r="D29" s="22">
        <v>1.9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29366028.166666668</v>
      </c>
      <c r="C30" s="25">
        <f>AVERAGE(C24:C29)</f>
        <v>2863.4</v>
      </c>
      <c r="D30" s="26">
        <f>AVERAGE(D24:D29)</f>
        <v>1.8833333333333335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4.5122744031776208E-3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29203065</v>
      </c>
      <c r="C45" s="18">
        <v>2850.7</v>
      </c>
      <c r="D45" s="19">
        <v>1.9</v>
      </c>
      <c r="E45" s="20">
        <v>2</v>
      </c>
    </row>
    <row r="46" spans="1:5" ht="16.5" customHeight="1" x14ac:dyDescent="0.3">
      <c r="A46" s="17">
        <v>2</v>
      </c>
      <c r="B46" s="18">
        <v>29476354</v>
      </c>
      <c r="C46" s="18">
        <v>2840.5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>
        <v>29358341</v>
      </c>
      <c r="C47" s="18">
        <v>2905.9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29400085</v>
      </c>
      <c r="C48" s="18">
        <v>2855.3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29225054</v>
      </c>
      <c r="C49" s="18">
        <v>2872.1</v>
      </c>
      <c r="D49" s="19">
        <v>1.9</v>
      </c>
      <c r="E49" s="19">
        <v>2</v>
      </c>
    </row>
    <row r="50" spans="1:7" ht="16.5" customHeight="1" x14ac:dyDescent="0.3">
      <c r="A50" s="17">
        <v>6</v>
      </c>
      <c r="B50" s="21">
        <v>29533270</v>
      </c>
      <c r="C50" s="21">
        <v>2855.9</v>
      </c>
      <c r="D50" s="22">
        <v>1.9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29366028.166666668</v>
      </c>
      <c r="C51" s="25">
        <f>AVERAGE(C45:C50)</f>
        <v>2863.4</v>
      </c>
      <c r="D51" s="26">
        <f>AVERAGE(D45:D50)</f>
        <v>1.8833333333333335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4.5122744031776208E-3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1" zoomScale="90" zoomScaleNormal="100" zoomScaleSheetLayoutView="90" workbookViewId="0">
      <selection activeCell="D24" sqref="D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3363557</v>
      </c>
      <c r="C24" s="18">
        <v>8390.2999999999993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3364730</v>
      </c>
      <c r="C25" s="18">
        <v>8341.1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3368981</v>
      </c>
      <c r="C26" s="18">
        <v>8353.7999999999993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3372122</v>
      </c>
      <c r="C27" s="18">
        <v>8373.4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3373427</v>
      </c>
      <c r="C28" s="18">
        <v>8397.2000000000007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3376361</v>
      </c>
      <c r="C29" s="21">
        <v>8390.5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3369863</v>
      </c>
      <c r="C30" s="25">
        <f>AVERAGE(C24:C29)</f>
        <v>8374.3833333333332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1.4950940736765974E-3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3343174</v>
      </c>
      <c r="C45" s="18">
        <v>8183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3347139</v>
      </c>
      <c r="C46" s="18">
        <v>8177.6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3354260</v>
      </c>
      <c r="C47" s="18">
        <v>8219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3352541</v>
      </c>
      <c r="C48" s="18">
        <v>8244.6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3353202</v>
      </c>
      <c r="C49" s="18">
        <v>8234.4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3351001</v>
      </c>
      <c r="C50" s="21">
        <v>8229.4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3350219.5</v>
      </c>
      <c r="C51" s="25">
        <f>AVERAGE(C45:C50)</f>
        <v>8214.6666666666661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1.2688341426081477E-3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18" sqref="C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131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129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180.66</v>
      </c>
      <c r="D24" s="86">
        <f t="shared" ref="D24:D43" si="0">(C24-$C$46)/$C$46</f>
        <v>2.8976633584416728E-2</v>
      </c>
      <c r="E24" s="53"/>
    </row>
    <row r="25" spans="1:5" ht="15.75" customHeight="1" x14ac:dyDescent="0.3">
      <c r="C25" s="94">
        <v>171.39</v>
      </c>
      <c r="D25" s="87">
        <f t="shared" si="0"/>
        <v>-2.382206780674653E-2</v>
      </c>
      <c r="E25" s="53"/>
    </row>
    <row r="26" spans="1:5" ht="15.75" customHeight="1" x14ac:dyDescent="0.3">
      <c r="C26" s="94">
        <v>179.72</v>
      </c>
      <c r="D26" s="87">
        <f t="shared" si="0"/>
        <v>2.3622719958991345E-2</v>
      </c>
      <c r="E26" s="53"/>
    </row>
    <row r="27" spans="1:5" ht="15.75" customHeight="1" x14ac:dyDescent="0.3">
      <c r="C27" s="94">
        <v>172.98</v>
      </c>
      <c r="D27" s="87">
        <f t="shared" si="0"/>
        <v>-1.4765979865867383E-2</v>
      </c>
      <c r="E27" s="53"/>
    </row>
    <row r="28" spans="1:5" ht="15.75" customHeight="1" x14ac:dyDescent="0.3">
      <c r="C28" s="94">
        <v>174.26</v>
      </c>
      <c r="D28" s="87">
        <f t="shared" si="0"/>
        <v>-7.4755442908200319E-3</v>
      </c>
      <c r="E28" s="53"/>
    </row>
    <row r="29" spans="1:5" ht="15.75" customHeight="1" x14ac:dyDescent="0.3">
      <c r="C29" s="94">
        <v>174.65</v>
      </c>
      <c r="D29" s="87">
        <f t="shared" si="0"/>
        <v>-5.2542397015477096E-3</v>
      </c>
      <c r="E29" s="53"/>
    </row>
    <row r="30" spans="1:5" ht="15.75" customHeight="1" x14ac:dyDescent="0.3">
      <c r="C30" s="94">
        <v>175.22</v>
      </c>
      <c r="D30" s="87">
        <f t="shared" si="0"/>
        <v>-2.0077176095344776E-3</v>
      </c>
      <c r="E30" s="53"/>
    </row>
    <row r="31" spans="1:5" ht="15.75" customHeight="1" x14ac:dyDescent="0.3">
      <c r="C31" s="94">
        <v>177.44</v>
      </c>
      <c r="D31" s="87">
        <f t="shared" si="0"/>
        <v>1.0636631590938255E-2</v>
      </c>
      <c r="E31" s="53"/>
    </row>
    <row r="32" spans="1:5" ht="15.75" customHeight="1" x14ac:dyDescent="0.3">
      <c r="C32" s="94">
        <v>179.16</v>
      </c>
      <c r="D32" s="87">
        <f t="shared" si="0"/>
        <v>2.0433154394908119E-2</v>
      </c>
      <c r="E32" s="53"/>
    </row>
    <row r="33" spans="1:7" ht="15.75" customHeight="1" x14ac:dyDescent="0.3">
      <c r="C33" s="94">
        <v>171.02</v>
      </c>
      <c r="D33" s="87">
        <f t="shared" si="0"/>
        <v>-2.5929459340158514E-2</v>
      </c>
      <c r="E33" s="53"/>
    </row>
    <row r="34" spans="1:7" ht="15.75" customHeight="1" x14ac:dyDescent="0.3">
      <c r="C34" s="94">
        <v>178.04</v>
      </c>
      <c r="D34" s="87">
        <f t="shared" si="0"/>
        <v>1.4054023266741666E-2</v>
      </c>
      <c r="E34" s="53"/>
    </row>
    <row r="35" spans="1:7" ht="15.75" customHeight="1" x14ac:dyDescent="0.3">
      <c r="C35" s="94">
        <v>175.77</v>
      </c>
      <c r="D35" s="87">
        <f t="shared" si="0"/>
        <v>1.1248914266187434E-3</v>
      </c>
      <c r="E35" s="53"/>
    </row>
    <row r="36" spans="1:7" ht="15.75" customHeight="1" x14ac:dyDescent="0.3">
      <c r="C36" s="94">
        <v>174.41</v>
      </c>
      <c r="D36" s="87">
        <f t="shared" si="0"/>
        <v>-6.621196371869139E-3</v>
      </c>
      <c r="E36" s="53"/>
    </row>
    <row r="37" spans="1:7" ht="15.75" customHeight="1" x14ac:dyDescent="0.3">
      <c r="C37" s="94">
        <v>174.04</v>
      </c>
      <c r="D37" s="87">
        <f t="shared" si="0"/>
        <v>-8.7285879052812886E-3</v>
      </c>
      <c r="E37" s="53"/>
    </row>
    <row r="38" spans="1:7" ht="15.75" customHeight="1" x14ac:dyDescent="0.3">
      <c r="C38" s="94">
        <v>177.11</v>
      </c>
      <c r="D38" s="87">
        <f t="shared" si="0"/>
        <v>8.7570661692464528E-3</v>
      </c>
      <c r="E38" s="53"/>
    </row>
    <row r="39" spans="1:7" ht="15.75" customHeight="1" x14ac:dyDescent="0.3">
      <c r="C39" s="94">
        <v>175.48</v>
      </c>
      <c r="D39" s="87">
        <f t="shared" si="0"/>
        <v>-5.268478833530373E-4</v>
      </c>
      <c r="E39" s="53"/>
    </row>
    <row r="40" spans="1:7" ht="15.75" customHeight="1" x14ac:dyDescent="0.3">
      <c r="C40" s="94">
        <v>171.6</v>
      </c>
      <c r="D40" s="87">
        <f t="shared" si="0"/>
        <v>-2.2625980720215277E-2</v>
      </c>
      <c r="E40" s="53"/>
    </row>
    <row r="41" spans="1:7" ht="15.75" customHeight="1" x14ac:dyDescent="0.3">
      <c r="C41" s="94">
        <v>175.93</v>
      </c>
      <c r="D41" s="87">
        <f t="shared" si="0"/>
        <v>2.0361958734996422E-3</v>
      </c>
      <c r="E41" s="53"/>
    </row>
    <row r="42" spans="1:7" ht="15.75" customHeight="1" x14ac:dyDescent="0.3">
      <c r="C42" s="94">
        <v>173.22</v>
      </c>
      <c r="D42" s="87">
        <f t="shared" si="0"/>
        <v>-1.3399023195545956E-2</v>
      </c>
      <c r="E42" s="53"/>
    </row>
    <row r="43" spans="1:7" ht="16.5" customHeight="1" x14ac:dyDescent="0.3">
      <c r="C43" s="95">
        <v>179.35</v>
      </c>
      <c r="D43" s="88">
        <f t="shared" si="0"/>
        <v>2.1515328425579197E-2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3511.45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175.57249999999999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175.57249999999999</v>
      </c>
      <c r="C49" s="92">
        <f>-IF(C46&lt;=80,10%,IF(C46&lt;250,7.5%,5%))</f>
        <v>-7.4999999999999997E-2</v>
      </c>
      <c r="D49" s="80">
        <f>IF(C46&lt;=80,C46*0.9,IF(C46&lt;250,C46*0.925,C46*0.95))</f>
        <v>162.4045625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188.74043749999998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88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x14ac:dyDescent="0.3">
      <c r="A15" s="97"/>
    </row>
    <row r="16" spans="1:9" ht="19.5" customHeight="1" x14ac:dyDescent="0.3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NDQD201508208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128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40" t="s">
        <v>125</v>
      </c>
      <c r="C26" s="340"/>
    </row>
    <row r="27" spans="1:14" ht="26.25" customHeight="1" x14ac:dyDescent="0.4">
      <c r="A27" s="108" t="s">
        <v>43</v>
      </c>
      <c r="B27" s="337" t="s">
        <v>126</v>
      </c>
      <c r="C27" s="337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29814137</v>
      </c>
      <c r="E38" s="132">
        <f>IF(ISBLANK(D38),"-",$D$48/$D$45*D38)</f>
        <v>36851727.2254529</v>
      </c>
      <c r="F38" s="131">
        <v>27428250</v>
      </c>
      <c r="G38" s="133">
        <f>IF(ISBLANK(F38),"-",$D$48/$F$45*F38)</f>
        <v>36123352.441075988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30041651</v>
      </c>
      <c r="E39" s="137">
        <f>IF(ISBLANK(D39),"-",$D$48/$D$45*D39)</f>
        <v>37132945.624227002</v>
      </c>
      <c r="F39" s="136">
        <v>27902280</v>
      </c>
      <c r="G39" s="138">
        <f>IF(ISBLANK(F39),"-",$D$48/$F$45*F39)</f>
        <v>36747655.951421827</v>
      </c>
      <c r="I39" s="324">
        <f>ABS((F43/D43*D42)-F42)/D42</f>
        <v>8.4586564608907979E-3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30142039</v>
      </c>
      <c r="E40" s="137">
        <f>IF(ISBLANK(D40),"-",$D$48/$D$45*D40)</f>
        <v>37257030.0876716</v>
      </c>
      <c r="F40" s="136">
        <v>28373383</v>
      </c>
      <c r="G40" s="138">
        <f>IF(ISBLANK(F40),"-",$D$48/$F$45*F40)</f>
        <v>37368104.565717243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29999275.666666668</v>
      </c>
      <c r="E42" s="147">
        <f>AVERAGE(E38:E41)</f>
        <v>37080567.645783834</v>
      </c>
      <c r="F42" s="146">
        <f>AVERAGE(F38:F41)</f>
        <v>27901304.333333332</v>
      </c>
      <c r="G42" s="148">
        <f>AVERAGE(G38:G41)</f>
        <v>36746370.986071683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12.2</v>
      </c>
      <c r="E43" s="139"/>
      <c r="F43" s="151">
        <v>11.45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10.12299260710371</v>
      </c>
      <c r="E44" s="154"/>
      <c r="F44" s="153">
        <f>F43*$B$34</f>
        <v>9.5006774878145475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10.112869614496606</v>
      </c>
      <c r="E45" s="157"/>
      <c r="F45" s="156">
        <f>F44*$B$30/100</f>
        <v>9.4911768103267331</v>
      </c>
      <c r="H45" s="149"/>
    </row>
    <row r="46" spans="1:14" ht="19.5" customHeight="1" x14ac:dyDescent="0.3">
      <c r="A46" s="310" t="s">
        <v>73</v>
      </c>
      <c r="B46" s="311"/>
      <c r="C46" s="152" t="s">
        <v>74</v>
      </c>
      <c r="D46" s="158">
        <f>D45/$B$45</f>
        <v>0.1618059138319457</v>
      </c>
      <c r="E46" s="159"/>
      <c r="F46" s="160">
        <f>F45/$B$45</f>
        <v>0.15185882896522773</v>
      </c>
      <c r="H46" s="149"/>
    </row>
    <row r="47" spans="1:14" ht="27" customHeight="1" x14ac:dyDescent="0.4">
      <c r="A47" s="312"/>
      <c r="B47" s="313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36913469.315927759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1.228654360601741E-2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175.57249999999999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7" t="s">
        <v>89</v>
      </c>
      <c r="D60" s="330">
        <v>174.4</v>
      </c>
      <c r="E60" s="181">
        <v>1</v>
      </c>
      <c r="F60" s="182">
        <v>40891929</v>
      </c>
      <c r="G60" s="271">
        <f>IF(ISBLANK(F60),"-",(F60/$D$50*$D$47*$B$68)*($B$57/$D$60))</f>
        <v>69.701602600819086</v>
      </c>
      <c r="H60" s="183">
        <f>IF(ISBLANK(F60),"-",G60/$B$56)</f>
        <v>1.0326163348269495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28"/>
      <c r="D61" s="331"/>
      <c r="E61" s="184">
        <v>2</v>
      </c>
      <c r="F61" s="136">
        <v>40855227</v>
      </c>
      <c r="G61" s="272">
        <f>IF(ISBLANK(F61),"-",(F61/$D$50*$D$47*$B$68)*($B$57/$D$60))</f>
        <v>69.639042866387001</v>
      </c>
      <c r="H61" s="185">
        <f t="shared" ref="H61:H71" si="0">IF(ISBLANK(F61),"-",G61/$B$56)</f>
        <v>1.0316895239464741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40795640</v>
      </c>
      <c r="G62" s="272">
        <f>IF(ISBLANK(F62),"-",(F62/$D$50*$D$47*$B$68)*($B$57/$D$60))</f>
        <v>69.537474916531309</v>
      </c>
      <c r="H62" s="185">
        <f t="shared" si="0"/>
        <v>1.0301848135782417</v>
      </c>
      <c r="L62" s="111"/>
    </row>
    <row r="63" spans="1:12" ht="27" customHeight="1" x14ac:dyDescent="0.4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175.4</v>
      </c>
      <c r="E64" s="181">
        <v>1</v>
      </c>
      <c r="F64" s="182">
        <v>41391957</v>
      </c>
      <c r="G64" s="273">
        <f>IF(ISBLANK(F64),"-",(F64/$D$50*$D$47*$B$68)*($B$57/$D$64))</f>
        <v>70.15167052368119</v>
      </c>
      <c r="H64" s="189">
        <f>IF(ISBLANK(F64),"-",G64/$B$56)</f>
        <v>1.0392840077582399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41169119</v>
      </c>
      <c r="G65" s="274">
        <f>IF(ISBLANK(F65),"-",(F65/$D$50*$D$47*$B$68)*($B$57/$D$64))</f>
        <v>69.774001549098628</v>
      </c>
      <c r="H65" s="190">
        <f t="shared" si="0"/>
        <v>1.0336889118384982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41128296</v>
      </c>
      <c r="G66" s="274">
        <f>IF(ISBLANK(F66),"-",(F66/$D$50*$D$47*$B$68)*($B$57/$D$64))</f>
        <v>69.704814154895729</v>
      </c>
      <c r="H66" s="190">
        <f t="shared" si="0"/>
        <v>1.0326639134058626</v>
      </c>
    </row>
    <row r="67" spans="1:8" ht="27" customHeight="1" x14ac:dyDescent="0.4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7" t="s">
        <v>99</v>
      </c>
      <c r="D68" s="330">
        <v>178.11</v>
      </c>
      <c r="E68" s="181">
        <v>1</v>
      </c>
      <c r="F68" s="182">
        <v>41295589</v>
      </c>
      <c r="G68" s="273">
        <f>IF(ISBLANK(F68),"-",(F68/$D$50*$D$47*$B$68)*($B$57/$D$68))</f>
        <v>68.923449875657994</v>
      </c>
      <c r="H68" s="185">
        <f>IF(ISBLANK(F68),"-",G68/$B$56)</f>
        <v>1.0210881463060444</v>
      </c>
    </row>
    <row r="69" spans="1:8" ht="27" customHeight="1" x14ac:dyDescent="0.4">
      <c r="A69" s="171" t="s">
        <v>100</v>
      </c>
      <c r="B69" s="193">
        <f>(D47*B68)/B56*B57</f>
        <v>162.56712962962962</v>
      </c>
      <c r="C69" s="328"/>
      <c r="D69" s="331"/>
      <c r="E69" s="184">
        <v>2</v>
      </c>
      <c r="F69" s="136">
        <v>41411449</v>
      </c>
      <c r="G69" s="274">
        <f>IF(ISBLANK(F69),"-",(F69/$D$50*$D$47*$B$68)*($B$57/$D$68))</f>
        <v>69.11682333505081</v>
      </c>
      <c r="H69" s="185">
        <f t="shared" si="0"/>
        <v>1.0239529382970491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41361021</v>
      </c>
      <c r="G70" s="274">
        <f>IF(ISBLANK(F70),"-",(F70/$D$50*$D$47*$B$68)*($B$57/$D$68))</f>
        <v>69.03265764533684</v>
      </c>
      <c r="H70" s="185">
        <f t="shared" si="0"/>
        <v>1.0227060391901754</v>
      </c>
    </row>
    <row r="71" spans="1:8" ht="27" customHeight="1" x14ac:dyDescent="0.4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1.0297638476830595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5.7993973832920209E-3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14" t="str">
        <f>B20</f>
        <v>Amodiaquine</v>
      </c>
      <c r="D76" s="314"/>
      <c r="E76" s="204" t="s">
        <v>103</v>
      </c>
      <c r="F76" s="204"/>
      <c r="G76" s="205">
        <f>H72</f>
        <v>1.0297638476830595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37" t="str">
        <f>B26</f>
        <v>Amodiaquine HCl</v>
      </c>
      <c r="C79" s="337"/>
    </row>
    <row r="80" spans="1:8" ht="26.25" customHeight="1" x14ac:dyDescent="0.4">
      <c r="A80" s="108" t="s">
        <v>43</v>
      </c>
      <c r="B80" s="337" t="str">
        <f>B27</f>
        <v>A7 1</v>
      </c>
      <c r="C80" s="337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2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18042489</v>
      </c>
      <c r="E91" s="132">
        <f>IF(ISBLANK(D91),"-",$D$101/$D$98*D91)</f>
        <v>27876745.31281228</v>
      </c>
      <c r="F91" s="281">
        <v>17014697</v>
      </c>
      <c r="G91" s="133">
        <f>IF(ISBLANK(F91),"-",$D$101/$F$98*F91)</f>
        <v>28010714.15461788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18126127</v>
      </c>
      <c r="E92" s="137">
        <f>IF(ISBLANK(D92),"-",$D$101/$D$98*D92)</f>
        <v>28005971.121095881</v>
      </c>
      <c r="F92" s="282">
        <v>17104638</v>
      </c>
      <c r="G92" s="138">
        <f>IF(ISBLANK(F92),"-",$D$101/$F$98*F92)</f>
        <v>28158780.948976927</v>
      </c>
      <c r="I92" s="324">
        <f>ABS((F96/D96*D95)-F95)/D95</f>
        <v>5.173129929717077E-3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18032777</v>
      </c>
      <c r="E93" s="137">
        <f>IF(ISBLANK(D93),"-",$D$101/$D$98*D93)</f>
        <v>27861739.680802304</v>
      </c>
      <c r="F93" s="282">
        <v>17030396</v>
      </c>
      <c r="G93" s="138">
        <f>IF(ISBLANK(F93),"-",$D$101/$F$98*F93)</f>
        <v>28036558.881768376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18067131</v>
      </c>
      <c r="E95" s="147">
        <f>AVERAGE(E91:E94)</f>
        <v>27914818.704903487</v>
      </c>
      <c r="F95" s="216">
        <f>AVERAGE(F91:F94)</f>
        <v>17049910.333333332</v>
      </c>
      <c r="G95" s="217">
        <f>AVERAGE(G91:G94)</f>
        <v>28068684.66178773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12.2</v>
      </c>
      <c r="E96" s="139"/>
      <c r="F96" s="151">
        <v>11.45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10.12299260710371</v>
      </c>
      <c r="E97" s="154"/>
      <c r="F97" s="153">
        <f>F96*$B$87</f>
        <v>9.5006774878145475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10.112869614496606</v>
      </c>
      <c r="E98" s="157"/>
      <c r="F98" s="156">
        <f>F97*$B$83/100</f>
        <v>9.4911768103267331</v>
      </c>
    </row>
    <row r="99" spans="1:10" ht="19.5" customHeight="1" x14ac:dyDescent="0.3">
      <c r="A99" s="310" t="s">
        <v>73</v>
      </c>
      <c r="B99" s="325"/>
      <c r="C99" s="220" t="s">
        <v>111</v>
      </c>
      <c r="D99" s="224">
        <f>D98/$B$98</f>
        <v>4.8541774149583709E-2</v>
      </c>
      <c r="E99" s="157"/>
      <c r="F99" s="160">
        <f>F98/$B$98</f>
        <v>4.5557648689568318E-2</v>
      </c>
      <c r="G99" s="225"/>
      <c r="H99" s="149"/>
    </row>
    <row r="100" spans="1:10" ht="19.5" customHeight="1" x14ac:dyDescent="0.3">
      <c r="A100" s="312"/>
      <c r="B100" s="326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27991751.683345605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3.9329045040628549E-3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24342559</v>
      </c>
      <c r="E108" s="277">
        <f t="shared" ref="E108:E113" si="1">IF(ISBLANK(D108),"-",D108/$D$103*$D$100*$B$116)</f>
        <v>58.700246811549746</v>
      </c>
      <c r="F108" s="243">
        <f>IF(ISBLANK(D108), "-", E108/$B$56)</f>
        <v>0.86963328609703328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24788312</v>
      </c>
      <c r="E109" s="278">
        <f t="shared" si="1"/>
        <v>59.775146583467262</v>
      </c>
      <c r="F109" s="244">
        <f t="shared" ref="F109:F113" si="2">IF(ISBLANK(D109), "-", E109/$B$56)</f>
        <v>0.88555772716247794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25355076</v>
      </c>
      <c r="E110" s="278">
        <f t="shared" si="1"/>
        <v>61.141855263680434</v>
      </c>
      <c r="F110" s="244">
        <f>IF(ISBLANK(D110), "-", E110/$B$56)</f>
        <v>0.90580526316563603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25286317</v>
      </c>
      <c r="E111" s="278">
        <f t="shared" si="1"/>
        <v>60.976048116185559</v>
      </c>
      <c r="F111" s="244">
        <f t="shared" si="2"/>
        <v>0.9033488609805268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24601004</v>
      </c>
      <c r="E112" s="278">
        <f t="shared" si="1"/>
        <v>59.323467455164526</v>
      </c>
      <c r="F112" s="244">
        <f>IF(ISBLANK(D112), "-", E112/$B$56)</f>
        <v>0.87886618452095588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24922313</v>
      </c>
      <c r="E113" s="279">
        <f t="shared" si="1"/>
        <v>60.098279897963671</v>
      </c>
      <c r="F113" s="247">
        <f t="shared" si="2"/>
        <v>0.8903448873772396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0.88892603488397837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1.5746896044409091E-2</v>
      </c>
      <c r="I116" s="97"/>
    </row>
    <row r="117" spans="1:10" ht="27" customHeight="1" x14ac:dyDescent="0.4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12"/>
      <c r="B118" s="313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14" t="str">
        <f>B20</f>
        <v>Amodiaquine</v>
      </c>
      <c r="D120" s="314"/>
      <c r="E120" s="204" t="s">
        <v>119</v>
      </c>
      <c r="F120" s="204"/>
      <c r="G120" s="205">
        <f>F115</f>
        <v>0.88892603488397837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10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1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204"/>
    </row>
    <row r="16" spans="1:9" ht="19.5" customHeight="1" thickBot="1" x14ac:dyDescent="0.35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NDQD201508208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124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40" t="s">
        <v>124</v>
      </c>
      <c r="C26" s="340"/>
    </row>
    <row r="27" spans="1:14" ht="26.25" customHeight="1" x14ac:dyDescent="0.4">
      <c r="A27" s="214" t="s">
        <v>43</v>
      </c>
      <c r="B27" s="337" t="s">
        <v>127</v>
      </c>
      <c r="C27" s="337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3376016</v>
      </c>
      <c r="E38" s="132">
        <f>IF(ISBLANK(D38),"-",$D$48/$D$45*D38)</f>
        <v>2969270.4828999504</v>
      </c>
      <c r="F38" s="131">
        <v>3669490</v>
      </c>
      <c r="G38" s="133">
        <f>IF(ISBLANK(F38),"-",$D$48/$F$45*F38)</f>
        <v>2953922.8637231202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3387181</v>
      </c>
      <c r="E39" s="137">
        <f>IF(ISBLANK(D39),"-",$D$48/$D$45*D39)</f>
        <v>2979090.313416624</v>
      </c>
      <c r="F39" s="136">
        <v>3650784</v>
      </c>
      <c r="G39" s="138">
        <f>IF(ISBLANK(F39),"-",$D$48/$F$45*F39)</f>
        <v>2938864.6182751684</v>
      </c>
      <c r="I39" s="324">
        <f>ABS((F43/D43*D42)-F42)/D42</f>
        <v>1.2246157367562821E-2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3388021</v>
      </c>
      <c r="E40" s="137">
        <f>IF(ISBLANK(D40),"-",$D$48/$D$45*D40)</f>
        <v>2979829.1094429567</v>
      </c>
      <c r="F40" s="136">
        <v>3646394</v>
      </c>
      <c r="G40" s="138">
        <f>IF(ISBLANK(F40),"-",$D$48/$F$45*F40)</f>
        <v>2935330.6881181863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3383739.3333333335</v>
      </c>
      <c r="E42" s="147">
        <f>AVERAGE(E38:E41)</f>
        <v>2976063.301919844</v>
      </c>
      <c r="F42" s="146">
        <f>AVERAGE(F38:F41)</f>
        <v>3655556</v>
      </c>
      <c r="G42" s="148">
        <f>AVERAGE(G38:G41)</f>
        <v>2942706.0567054916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22.9</v>
      </c>
      <c r="E43" s="204"/>
      <c r="F43" s="151">
        <v>25.02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22.9</v>
      </c>
      <c r="E44" s="222"/>
      <c r="F44" s="153">
        <f>F43*$B$34</f>
        <v>25.02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22.739699999999999</v>
      </c>
      <c r="E45" s="200"/>
      <c r="F45" s="156">
        <f>F44*$B$30/100</f>
        <v>24.844859999999997</v>
      </c>
      <c r="H45" s="149"/>
    </row>
    <row r="46" spans="1:14" ht="19.5" customHeight="1" thickBot="1" x14ac:dyDescent="0.35">
      <c r="A46" s="310" t="s">
        <v>73</v>
      </c>
      <c r="B46" s="311"/>
      <c r="C46" s="152" t="s">
        <v>74</v>
      </c>
      <c r="D46" s="158">
        <f>D45/$B$45</f>
        <v>4.5479399999999996</v>
      </c>
      <c r="E46" s="159"/>
      <c r="F46" s="160">
        <f>F45/$B$45</f>
        <v>4.9689719999999991</v>
      </c>
      <c r="H46" s="149"/>
    </row>
    <row r="47" spans="1:14" ht="27" customHeight="1" thickBot="1" x14ac:dyDescent="0.45">
      <c r="A47" s="312"/>
      <c r="B47" s="313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2959384.6793126673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6.6448826156867875E-3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175.57249999999999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7" t="s">
        <v>89</v>
      </c>
      <c r="D60" s="330">
        <v>177</v>
      </c>
      <c r="E60" s="181">
        <v>1</v>
      </c>
      <c r="F60" s="182">
        <v>3428429</v>
      </c>
      <c r="G60" s="271">
        <f>IF(ISBLANK(F60),"-",(F60/$D$50*$D$47*$B$68)*($B$57/$D$60))</f>
        <v>22.983012926546099</v>
      </c>
      <c r="H60" s="183">
        <f>IF(ISBLANK(F60),"-",G60/$B$56)</f>
        <v>0.91932051706184392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28"/>
      <c r="D61" s="331"/>
      <c r="E61" s="184">
        <v>2</v>
      </c>
      <c r="F61" s="136">
        <v>3434977</v>
      </c>
      <c r="G61" s="272">
        <f>IF(ISBLANK(F61),"-",(F61/$D$50*$D$47*$B$68)*($B$57/$D$60))</f>
        <v>23.026908474227866</v>
      </c>
      <c r="H61" s="185">
        <f t="shared" ref="H61:H71" si="0">IF(ISBLANK(F61),"-",G61/$B$56)</f>
        <v>0.92107633896911467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3424780</v>
      </c>
      <c r="G62" s="272">
        <f>IF(ISBLANK(F62),"-",(F62/$D$50*$D$47*$B$68)*($B$57/$D$60))</f>
        <v>22.958551281235973</v>
      </c>
      <c r="H62" s="185">
        <f t="shared" si="0"/>
        <v>0.91834205124943891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175.96</v>
      </c>
      <c r="E64" s="181">
        <v>1</v>
      </c>
      <c r="F64" s="182">
        <v>3375067</v>
      </c>
      <c r="G64" s="273">
        <f>IF(ISBLANK(F64),"-",(F64/$D$50*$D$47*$B$68)*($B$57/$D$64))</f>
        <v>22.759017669863262</v>
      </c>
      <c r="H64" s="189">
        <f>IF(ISBLANK(F64),"-",G64/$B$56)</f>
        <v>0.91036070679453052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3378452</v>
      </c>
      <c r="G65" s="274">
        <f>IF(ISBLANK(F65),"-",(F65/$D$50*$D$47*$B$68)*($B$57/$D$64))</f>
        <v>22.781843668521212</v>
      </c>
      <c r="H65" s="190">
        <f t="shared" si="0"/>
        <v>0.91127374674084849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3372087</v>
      </c>
      <c r="G66" s="274">
        <f>IF(ISBLANK(F66),"-",(F66/$D$50*$D$47*$B$68)*($B$57/$D$64))</f>
        <v>22.73892269910974</v>
      </c>
      <c r="H66" s="190">
        <f t="shared" si="0"/>
        <v>0.90955690796438959</v>
      </c>
    </row>
    <row r="67" spans="1:8" ht="27" customHeight="1" thickBot="1" x14ac:dyDescent="0.45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7" t="s">
        <v>99</v>
      </c>
      <c r="D68" s="330">
        <v>180.86</v>
      </c>
      <c r="E68" s="181">
        <v>1</v>
      </c>
      <c r="F68" s="182"/>
      <c r="G68" s="273" t="str">
        <f>IF(ISBLANK(F68),"-",(F68/$D$50*$D$47*$B$68)*($B$57/$D$68))</f>
        <v>-</v>
      </c>
      <c r="H68" s="185" t="str">
        <f>IF(ISBLANK(F68),"-",G68/$B$56)</f>
        <v>-</v>
      </c>
    </row>
    <row r="69" spans="1:8" ht="27" customHeight="1" thickBot="1" x14ac:dyDescent="0.45">
      <c r="A69" s="171" t="s">
        <v>100</v>
      </c>
      <c r="B69" s="193">
        <f>(D47*B68)/B56*B57</f>
        <v>140.458</v>
      </c>
      <c r="C69" s="328"/>
      <c r="D69" s="331"/>
      <c r="E69" s="184">
        <v>2</v>
      </c>
      <c r="F69" s="136"/>
      <c r="G69" s="274" t="str">
        <f>IF(ISBLANK(F69),"-",(F69/$D$50*$D$47*$B$68)*($B$57/$D$68))</f>
        <v>-</v>
      </c>
      <c r="H69" s="185" t="str">
        <f t="shared" si="0"/>
        <v>-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/>
      <c r="G70" s="274" t="str">
        <f>IF(ISBLANK(F70),"-",(F70/$D$50*$D$47*$B$68)*($B$57/$D$68))</f>
        <v>-</v>
      </c>
      <c r="H70" s="185" t="str">
        <f t="shared" si="0"/>
        <v>-</v>
      </c>
    </row>
    <row r="71" spans="1:8" ht="27" customHeight="1" thickBot="1" x14ac:dyDescent="0.45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0.91498837813002754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5.6110584471651681E-3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6</v>
      </c>
    </row>
    <row r="76" spans="1:8" ht="26.25" customHeight="1" x14ac:dyDescent="0.4">
      <c r="A76" s="262" t="s">
        <v>101</v>
      </c>
      <c r="B76" s="214" t="s">
        <v>102</v>
      </c>
      <c r="C76" s="314" t="str">
        <f>B20</f>
        <v>Artesunate</v>
      </c>
      <c r="D76" s="314"/>
      <c r="E76" s="204" t="s">
        <v>103</v>
      </c>
      <c r="F76" s="204"/>
      <c r="G76" s="205">
        <f>H72</f>
        <v>0.91498837813002754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37" t="str">
        <f>B26</f>
        <v>Artesunate</v>
      </c>
      <c r="C79" s="337"/>
    </row>
    <row r="80" spans="1:8" ht="26.25" customHeight="1" x14ac:dyDescent="0.4">
      <c r="A80" s="214" t="s">
        <v>43</v>
      </c>
      <c r="B80" s="337" t="str">
        <f>B27</f>
        <v>A15 2</v>
      </c>
      <c r="C80" s="337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2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1039155</v>
      </c>
      <c r="E91" s="132">
        <f>IF(ISBLANK(D91),"-",$D$101/$D$98*D91)</f>
        <v>1142445.8106307471</v>
      </c>
      <c r="F91" s="281">
        <v>1102951</v>
      </c>
      <c r="G91" s="133">
        <f>IF(ISBLANK(F91),"-",$D$101/$F$98*F91)</f>
        <v>1109838.2120084397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1040823</v>
      </c>
      <c r="E92" s="137">
        <f>IF(ISBLANK(D92),"-",$D$101/$D$98*D92)</f>
        <v>1144279.6079103947</v>
      </c>
      <c r="F92" s="282">
        <v>1119345</v>
      </c>
      <c r="G92" s="138">
        <f>IF(ISBLANK(F92),"-",$D$101/$F$98*F92)</f>
        <v>1126334.5818813229</v>
      </c>
      <c r="I92" s="324">
        <f>ABS((F96/D96*D95)-F95)/D95</f>
        <v>2.5142645046347563E-2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1048484</v>
      </c>
      <c r="E93" s="137">
        <f>IF(ISBLANK(D93),"-",$D$101/$D$98*D93)</f>
        <v>1152702.1024903583</v>
      </c>
      <c r="F93" s="282">
        <v>1117130</v>
      </c>
      <c r="G93" s="138">
        <f>IF(ISBLANK(F93),"-",$D$101/$F$98*F93)</f>
        <v>1124105.7506462103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130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1042820.6666666666</v>
      </c>
      <c r="E95" s="147">
        <f>AVERAGE(E91:E94)</f>
        <v>1146475.8403438332</v>
      </c>
      <c r="F95" s="216">
        <f>AVERAGE(F91:F94)</f>
        <v>1113142</v>
      </c>
      <c r="G95" s="217">
        <f>AVERAGE(G91:G94)</f>
        <v>1120092.8481786577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22.9</v>
      </c>
      <c r="E96" s="204"/>
      <c r="F96" s="151">
        <v>25.02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22.9</v>
      </c>
      <c r="E97" s="222"/>
      <c r="F97" s="153">
        <f>F96*$B$87</f>
        <v>25.02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22.739699999999999</v>
      </c>
      <c r="E98" s="200"/>
      <c r="F98" s="156">
        <f>F97*$B$83/100</f>
        <v>24.844859999999997</v>
      </c>
    </row>
    <row r="99" spans="1:10" ht="19.5" customHeight="1" thickBot="1" x14ac:dyDescent="0.35">
      <c r="A99" s="310" t="s">
        <v>73</v>
      </c>
      <c r="B99" s="325"/>
      <c r="C99" s="220" t="s">
        <v>111</v>
      </c>
      <c r="D99" s="224">
        <f>D98/$B$98</f>
        <v>4.5479399999999996E-2</v>
      </c>
      <c r="E99" s="200"/>
      <c r="F99" s="160">
        <f>F98/$B$98</f>
        <v>4.9689719999999993E-2</v>
      </c>
      <c r="H99" s="149"/>
    </row>
    <row r="100" spans="1:10" ht="19.5" customHeight="1" thickBot="1" x14ac:dyDescent="0.35">
      <c r="A100" s="312"/>
      <c r="B100" s="326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1133284.3442612456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1.4030542756463241E-2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1074182</v>
      </c>
      <c r="E108" s="277">
        <f t="shared" ref="E108:E113" si="1">IF(ISBLANK(D108),"-",D108/$D$103*$D$100*$B$116)</f>
        <v>23.696215460830075</v>
      </c>
      <c r="F108" s="243">
        <f>IF(ISBLANK(D108), "-", E108/$B$56)</f>
        <v>0.94784861843320301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1110246</v>
      </c>
      <c r="E109" s="278">
        <f t="shared" si="1"/>
        <v>24.491779261358641</v>
      </c>
      <c r="F109" s="244">
        <f t="shared" ref="F109:F113" si="2">IF(ISBLANK(D109), "-", E109/$B$56)</f>
        <v>0.9796711704543456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1106685</v>
      </c>
      <c r="E110" s="278">
        <f t="shared" si="1"/>
        <v>24.413224395185111</v>
      </c>
      <c r="F110" s="244">
        <f>IF(ISBLANK(D110), "-", E110/$B$56)</f>
        <v>0.97652897580740439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1114507</v>
      </c>
      <c r="E111" s="278">
        <f t="shared" si="1"/>
        <v>24.58577597148653</v>
      </c>
      <c r="F111" s="244">
        <f t="shared" si="2"/>
        <v>0.98343103885946126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1113991</v>
      </c>
      <c r="E112" s="278">
        <f t="shared" si="1"/>
        <v>24.574393126514462</v>
      </c>
      <c r="F112" s="244">
        <f>IF(ISBLANK(D112), "-", E112/$B$56)</f>
        <v>0.98297572506057851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1114242</v>
      </c>
      <c r="E113" s="279">
        <f t="shared" si="1"/>
        <v>24.57993013056095</v>
      </c>
      <c r="F113" s="247">
        <f t="shared" si="2"/>
        <v>0.98319720522243803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0.97560878897290515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1.4210375114928227E-2</v>
      </c>
      <c r="I116" s="204"/>
    </row>
    <row r="117" spans="1:10" ht="27" customHeight="1" thickBot="1" x14ac:dyDescent="0.45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12"/>
      <c r="B118" s="313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14" t="str">
        <f>B20</f>
        <v>Artesunate</v>
      </c>
      <c r="D120" s="314"/>
      <c r="E120" s="204" t="s">
        <v>119</v>
      </c>
      <c r="F120" s="204"/>
      <c r="G120" s="205">
        <f>F115</f>
        <v>0.97560878897290515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87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2015-10-21T09:39:21Z</cp:lastPrinted>
  <dcterms:created xsi:type="dcterms:W3CDTF">2005-07-05T10:19:27Z</dcterms:created>
  <dcterms:modified xsi:type="dcterms:W3CDTF">2015-12-02T12:00:51Z</dcterms:modified>
</cp:coreProperties>
</file>