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<sst xmlns="http://schemas.openxmlformats.org/spreadsheetml/2006/main" count="435" uniqueCount="132">
  <si>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</si>
  <si>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</si>
  <si>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</si>
  <si>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</si>
  <si>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</si>
  <si>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</si>
  <si>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</si>
  <si>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</si>
  <si>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</si>
  <si>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</si>
  <si>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</si>
  <si>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</si>
  <si>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</si>
  <si>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</si>
  <si>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</si>
  <si>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</si>
  <si>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</si>
  <si>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</si>
  <si>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</si>
  <si>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</si>
  <si>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</si>
  <si>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</si>
  <si>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</si>
  <si>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</si>
  <si>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</si>
  <si>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</si>
  <si>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</si>
  <si>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</si>
  <si>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</si>
  <si>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</si>
  <si>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</si>
  <si>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</si>
  <si>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</si>
  <si>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</si>
  <si>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</si>
  <si>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</si>
  <si>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</si>
  <si>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</si>
  <si>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</si>
  <si>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</si>
  <si>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</si>
  <si>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</si>
  <si>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</si>
  <si>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</si>
  <si>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</si>
  <si>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</si>
  <si>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</si>
  <si>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</si>
  <si>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</si>
  <si>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</si>
  <si>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</si>
  <si>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</si>
  <si>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</si>
  <si>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</si>
  <si>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</si>
  <si>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</si>
  <si>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</si>
  <si>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</si>
  <si>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</si>
  <si>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</si>
  <si>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</si>
  <si>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</si>
  <si>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</si>
  <si>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</si>
  <si>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</si>
  <si>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</si>
  <si>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</si>
  <si>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</si>
  <si>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</si>
  <si>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</si>
  <si>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</si>
  <si>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</si>
  <si>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</si>
  <si>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</si>
  <si>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</si>
  <si>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</si>
  <si>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</si>
  <si>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</si>
  <si>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</si>
  <si>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</si>
  <si>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</si>
  <si>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</si>
  <si>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</si>
  <si>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</si>
  <si>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</si>
  <si>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</si>
  <si>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</si>
  <si>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</si>
  <si>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</si>
  <si>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</si>
  <si>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</si>
  <si>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</si>
  <si>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</si>
  <si>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</si>
  <si>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</si>
  <si>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</si>
  <si>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</si>
  <si>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</si>
  <si>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</si>
  <si>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</si>
  <si>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</si>
  <si>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</si>
  <si>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</si>
  <si>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</si>
  <si>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</si>
  <si>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</si>
  <si>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</si>
  <si>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</si>
  <si>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</si>
  <si>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</si>
  <si>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</si>
  <si>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</si>
  <si>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</si>
  <si>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</si>
  <si>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</si>
  <si>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</si>
  <si>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</si>
  <si>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</si>
  <si>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</si>
  <si>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</si>
  <si>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</si>
  <si>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</si>
  <si>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</si>
  <si>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</si>
  <si>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</si>
  <si>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</si>
  <si>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</si>
  <si>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</si>
  <si>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</si>
  <si>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</si>
  <si>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50mg and Amodiaquine 135mg</t>
  </si>
  <si>
    <t>NDQD201508210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</si>
</sst>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28822227</v>
      </c>
      <c r="C24" s="18">
        <v>2537.5</v>
      </c>
      <c r="D24" s="19">
        <v>2</v>
      </c>
      <c r="E24" s="20">
        <v>2</v>
      </c>
    </row>
    <row r="25" spans="1:5" ht="16.5" customHeight="1" x14ac:dyDescent="0.3">
      <c r="A25" s="17">
        <v>2</v>
      </c>
      <c r="B25" s="18">
        <v>28986515</v>
      </c>
      <c r="C25" s="18">
        <v>2549.6999999999998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28910724</v>
      </c>
      <c r="C26" s="18">
        <v>2573.6999999999998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28919077</v>
      </c>
      <c r="C27" s="18">
        <v>2590.1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28943023</v>
      </c>
      <c r="C28" s="18">
        <v>2576.1999999999998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28875805</v>
      </c>
      <c r="C29" s="21">
        <v>2574.1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28909561.833333332</v>
      </c>
      <c r="C30" s="25">
        <f>AVERAGE(C24:C29)</f>
        <v>2566.8833333333337</v>
      </c>
      <c r="D30" s="26">
        <f>AVERAGE(D24:D29)</f>
        <v>1.9166666666666667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1.9506310361270915E-3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28822227</v>
      </c>
      <c r="C45" s="18">
        <v>2537.5</v>
      </c>
      <c r="D45" s="19">
        <v>2</v>
      </c>
      <c r="E45" s="20">
        <v>2</v>
      </c>
    </row>
    <row r="46" spans="1:5" ht="16.5" customHeight="1" x14ac:dyDescent="0.3">
      <c r="A46" s="17">
        <v>2</v>
      </c>
      <c r="B46" s="18">
        <v>28986515</v>
      </c>
      <c r="C46" s="18">
        <v>2549.6999999999998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28910724</v>
      </c>
      <c r="C47" s="18">
        <v>2573.6999999999998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28919077</v>
      </c>
      <c r="C48" s="18">
        <v>2590.1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28943023</v>
      </c>
      <c r="C49" s="18">
        <v>2576.1999999999998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28875805</v>
      </c>
      <c r="C50" s="21">
        <v>2574.1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28909561.833333332</v>
      </c>
      <c r="C51" s="25">
        <f>AVERAGE(C45:C50)</f>
        <v>2566.8833333333337</v>
      </c>
      <c r="D51" s="26">
        <f>AVERAGE(D45:D50)</f>
        <v>1.9166666666666667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1.9506310361270915E-3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7" zoomScale="90" zoomScaleNormal="100" zoomScaleSheetLayoutView="90" workbookViewId="0">
      <selection activeCell="E45" sqref="E4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3175409</v>
      </c>
      <c r="C24" s="18">
        <v>8053.2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3172253</v>
      </c>
      <c r="C25" s="18">
        <v>8024.7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3177874</v>
      </c>
      <c r="C26" s="18">
        <v>8058.9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3179284</v>
      </c>
      <c r="C27" s="18">
        <v>8077.6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3178130</v>
      </c>
      <c r="C28" s="18">
        <v>8061.1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3183344</v>
      </c>
      <c r="C29" s="21">
        <v>8100.5</v>
      </c>
      <c r="D29" s="22">
        <v>1</v>
      </c>
      <c r="E29" s="22">
        <v>8.5</v>
      </c>
    </row>
    <row r="30" spans="1:6" ht="16.5" customHeight="1" x14ac:dyDescent="0.3">
      <c r="A30" s="23" t="s">
        <v>13</v>
      </c>
      <c r="B30" s="24">
        <f>AVERAGE(B24:B29)</f>
        <v>3177715.6666666665</v>
      </c>
      <c r="C30" s="25">
        <f>AVERAGE(C24:C29)</f>
        <v>8062.666666666667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1.1732209814323275E-3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3175409</v>
      </c>
      <c r="C45" s="18">
        <v>8053.2</v>
      </c>
      <c r="D45" s="19">
        <v>1</v>
      </c>
      <c r="E45" s="20">
        <v>8.5</v>
      </c>
    </row>
    <row r="46" spans="1:6" ht="16.5" customHeight="1" x14ac:dyDescent="0.3">
      <c r="A46" s="17">
        <v>2</v>
      </c>
      <c r="B46" s="18">
        <v>3172253</v>
      </c>
      <c r="C46" s="18">
        <v>8024.7</v>
      </c>
      <c r="D46" s="19">
        <v>1</v>
      </c>
      <c r="E46" s="19">
        <v>8.5</v>
      </c>
    </row>
    <row r="47" spans="1:6" ht="16.5" customHeight="1" x14ac:dyDescent="0.3">
      <c r="A47" s="17">
        <v>3</v>
      </c>
      <c r="B47" s="18">
        <v>3177874</v>
      </c>
      <c r="C47" s="18">
        <v>8058.9</v>
      </c>
      <c r="D47" s="19">
        <v>1</v>
      </c>
      <c r="E47" s="19">
        <v>8.5</v>
      </c>
    </row>
    <row r="48" spans="1:6" ht="16.5" customHeight="1" x14ac:dyDescent="0.3">
      <c r="A48" s="17">
        <v>4</v>
      </c>
      <c r="B48" s="18">
        <v>3179284</v>
      </c>
      <c r="C48" s="18">
        <v>8077.6</v>
      </c>
      <c r="D48" s="19">
        <v>1</v>
      </c>
      <c r="E48" s="19">
        <v>8.5</v>
      </c>
    </row>
    <row r="49" spans="1:7" ht="16.5" customHeight="1" x14ac:dyDescent="0.3">
      <c r="A49" s="17">
        <v>5</v>
      </c>
      <c r="B49" s="18">
        <v>3178130</v>
      </c>
      <c r="C49" s="18">
        <v>8061.1</v>
      </c>
      <c r="D49" s="19">
        <v>1</v>
      </c>
      <c r="E49" s="19">
        <v>8.5</v>
      </c>
    </row>
    <row r="50" spans="1:7" ht="16.5" customHeight="1" x14ac:dyDescent="0.3">
      <c r="A50" s="17">
        <v>6</v>
      </c>
      <c r="B50" s="21">
        <v>3183344</v>
      </c>
      <c r="C50" s="21">
        <v>8100.5</v>
      </c>
      <c r="D50" s="22">
        <v>1</v>
      </c>
      <c r="E50" s="22">
        <v>8.5</v>
      </c>
    </row>
    <row r="51" spans="1:7" ht="16.5" customHeight="1" x14ac:dyDescent="0.3">
      <c r="A51" s="23" t="s">
        <v>13</v>
      </c>
      <c r="B51" s="24">
        <f>AVERAGE(B45:B50)</f>
        <v>3177715.6666666665</v>
      </c>
      <c r="C51" s="25">
        <f>AVERAGE(C45:C50)</f>
        <v>8062.666666666667</v>
      </c>
      <c r="D51" s="26">
        <f>AVERAGE(D45:D50)</f>
        <v>1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1.1732209814323275E-3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130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351.18</v>
      </c>
      <c r="D24" s="86">
        <f t="shared" ref="D24:D43" si="0">(C24-$C$46)/$C$46</f>
        <v>1.6771631982475993E-3</v>
      </c>
      <c r="E24" s="53"/>
    </row>
    <row r="25" spans="1:5" ht="15.75" customHeight="1" x14ac:dyDescent="0.3">
      <c r="C25" s="94">
        <v>351.72</v>
      </c>
      <c r="D25" s="87">
        <f t="shared" si="0"/>
        <v>3.2174151150055983E-3</v>
      </c>
      <c r="E25" s="53"/>
    </row>
    <row r="26" spans="1:5" ht="15.75" customHeight="1" x14ac:dyDescent="0.3">
      <c r="C26" s="94">
        <v>348.7</v>
      </c>
      <c r="D26" s="87">
        <f t="shared" si="0"/>
        <v>-5.3965863453815143E-3</v>
      </c>
      <c r="E26" s="53"/>
    </row>
    <row r="27" spans="1:5" ht="15.75" customHeight="1" x14ac:dyDescent="0.3">
      <c r="C27" s="94">
        <v>348.52</v>
      </c>
      <c r="D27" s="87">
        <f t="shared" si="0"/>
        <v>-5.9100036509675147E-3</v>
      </c>
      <c r="E27" s="53"/>
    </row>
    <row r="28" spans="1:5" ht="15.75" customHeight="1" x14ac:dyDescent="0.3">
      <c r="C28" s="94">
        <v>348.08</v>
      </c>
      <c r="D28" s="87">
        <f t="shared" si="0"/>
        <v>-7.1650237312887929E-3</v>
      </c>
      <c r="E28" s="53"/>
    </row>
    <row r="29" spans="1:5" ht="15.75" customHeight="1" x14ac:dyDescent="0.3">
      <c r="C29" s="94">
        <v>346.48</v>
      </c>
      <c r="D29" s="87">
        <f t="shared" si="0"/>
        <v>-1.1728733114275188E-2</v>
      </c>
      <c r="E29" s="53"/>
    </row>
    <row r="30" spans="1:5" ht="15.75" customHeight="1" x14ac:dyDescent="0.3">
      <c r="C30" s="94">
        <v>352.39</v>
      </c>
      <c r="D30" s="87">
        <f t="shared" si="0"/>
        <v>5.1284684191310751E-3</v>
      </c>
      <c r="E30" s="53"/>
    </row>
    <row r="31" spans="1:5" ht="15.75" customHeight="1" x14ac:dyDescent="0.3">
      <c r="C31" s="94">
        <v>353.27</v>
      </c>
      <c r="D31" s="87">
        <f t="shared" si="0"/>
        <v>7.6385085797736323E-3</v>
      </c>
      <c r="E31" s="53"/>
    </row>
    <row r="32" spans="1:5" ht="15.75" customHeight="1" x14ac:dyDescent="0.3">
      <c r="C32" s="94">
        <v>350.21</v>
      </c>
      <c r="D32" s="87">
        <f t="shared" si="0"/>
        <v>-1.0895856151880391E-3</v>
      </c>
      <c r="E32" s="53"/>
    </row>
    <row r="33" spans="1:7" ht="15.75" customHeight="1" x14ac:dyDescent="0.3">
      <c r="C33" s="94">
        <v>352.36</v>
      </c>
      <c r="D33" s="87">
        <f t="shared" si="0"/>
        <v>5.0428988682001564E-3</v>
      </c>
      <c r="E33" s="53"/>
    </row>
    <row r="34" spans="1:7" ht="15.75" customHeight="1" x14ac:dyDescent="0.3">
      <c r="C34" s="94">
        <v>350.96</v>
      </c>
      <c r="D34" s="87">
        <f t="shared" si="0"/>
        <v>1.0496531580868789E-3</v>
      </c>
      <c r="E34" s="53"/>
    </row>
    <row r="35" spans="1:7" ht="15.75" customHeight="1" x14ac:dyDescent="0.3">
      <c r="C35" s="94">
        <v>352.94</v>
      </c>
      <c r="D35" s="87">
        <f t="shared" si="0"/>
        <v>6.697243519532714E-3</v>
      </c>
      <c r="E35" s="53"/>
    </row>
    <row r="36" spans="1:7" ht="15.75" customHeight="1" x14ac:dyDescent="0.3">
      <c r="C36" s="94">
        <v>349.21</v>
      </c>
      <c r="D36" s="87">
        <f t="shared" si="0"/>
        <v>-3.9419039795545964E-3</v>
      </c>
      <c r="E36" s="53"/>
    </row>
    <row r="37" spans="1:7" ht="15.75" customHeight="1" x14ac:dyDescent="0.3">
      <c r="C37" s="94">
        <v>350.2</v>
      </c>
      <c r="D37" s="87">
        <f t="shared" si="0"/>
        <v>-1.1181087988316788E-3</v>
      </c>
      <c r="E37" s="53"/>
    </row>
    <row r="38" spans="1:7" ht="15.75" customHeight="1" x14ac:dyDescent="0.3">
      <c r="C38" s="94">
        <v>347.44</v>
      </c>
      <c r="D38" s="87">
        <f t="shared" si="0"/>
        <v>-8.990507484483351E-3</v>
      </c>
      <c r="E38" s="53"/>
    </row>
    <row r="39" spans="1:7" ht="15.75" customHeight="1" x14ac:dyDescent="0.3">
      <c r="C39" s="94">
        <v>351.57</v>
      </c>
      <c r="D39" s="87">
        <f t="shared" si="0"/>
        <v>2.7895673603505178E-3</v>
      </c>
      <c r="E39" s="53"/>
    </row>
    <row r="40" spans="1:7" ht="15.75" customHeight="1" x14ac:dyDescent="0.3">
      <c r="C40" s="94">
        <v>350.91</v>
      </c>
      <c r="D40" s="87">
        <f t="shared" si="0"/>
        <v>9.0703723986868066E-4</v>
      </c>
      <c r="E40" s="53"/>
    </row>
    <row r="41" spans="1:7" ht="15.75" customHeight="1" x14ac:dyDescent="0.3">
      <c r="C41" s="94">
        <v>350.39</v>
      </c>
      <c r="D41" s="87">
        <f t="shared" si="0"/>
        <v>-5.7616830960203938E-4</v>
      </c>
      <c r="E41" s="53"/>
    </row>
    <row r="42" spans="1:7" ht="15.75" customHeight="1" x14ac:dyDescent="0.3">
      <c r="C42" s="94">
        <v>352.09</v>
      </c>
      <c r="D42" s="87">
        <f t="shared" si="0"/>
        <v>4.2727729098210755E-3</v>
      </c>
      <c r="E42" s="53"/>
    </row>
    <row r="43" spans="1:7" ht="16.5" customHeight="1" x14ac:dyDescent="0.3">
      <c r="C43" s="95">
        <v>353.22</v>
      </c>
      <c r="D43" s="88">
        <f t="shared" si="0"/>
        <v>7.4958926615554342E-3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7011.84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350.59199999999998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350.59199999999998</v>
      </c>
      <c r="C49" s="92">
        <f>-IF(C46&lt;=80,10%,IF(C46&lt;250,7.5%,5%))</f>
        <v>-0.05</v>
      </c>
      <c r="D49" s="80">
        <f>IF(C46&lt;=80,C46*0.9,IF(C46&lt;250,C46*0.925,C46*0.95))</f>
        <v>333.06239999999997</v>
      </c>
    </row>
    <row r="50" spans="1:6" ht="17.25" customHeight="1" x14ac:dyDescent="0.3">
      <c r="B50" s="301"/>
      <c r="C50" s="93">
        <f>IF(C46&lt;=80, 10%, IF(C46&lt;250, 7.5%, 5%))</f>
        <v>0.05</v>
      </c>
      <c r="D50" s="80">
        <f>IF(C46&lt;=80, C46*1.1, IF(C46&lt;250, C46*1.075, C46*1.05))</f>
        <v>368.1216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NDQD201508210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50mg and Amodiaquine 135mg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28263753</v>
      </c>
      <c r="E38" s="132">
        <f>IF(ISBLANK(D38),"-",$D$48/$D$45*D38)</f>
        <v>36119627.064291582</v>
      </c>
      <c r="F38" s="131">
        <v>31331416</v>
      </c>
      <c r="G38" s="133">
        <f>IF(ISBLANK(F38),"-",$D$48/$F$45*F38)</f>
        <v>36011534.171574496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28348561</v>
      </c>
      <c r="E39" s="137">
        <f>IF(ISBLANK(D39),"-",$D$48/$D$45*D39)</f>
        <v>36228007.33962404</v>
      </c>
      <c r="F39" s="136">
        <v>31286024</v>
      </c>
      <c r="G39" s="138">
        <f>IF(ISBLANK(F39),"-",$D$48/$F$45*F39)</f>
        <v>35959361.75909508</v>
      </c>
      <c r="I39" s="324">
        <f>ABS((F43/D43*D42)-F42)/D42</f>
        <v>6.0930626725696291E-3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28310763</v>
      </c>
      <c r="E40" s="137">
        <f>IF(ISBLANK(D40),"-",$D$48/$D$45*D40)</f>
        <v>36179703.433777697</v>
      </c>
      <c r="F40" s="136">
        <v>31288065</v>
      </c>
      <c r="G40" s="138">
        <f>IF(ISBLANK(F40),"-",$D$48/$F$45*F40)</f>
        <v>35961707.632682286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28307692.333333332</v>
      </c>
      <c r="E42" s="147">
        <f>AVERAGE(E38:E41)</f>
        <v>36175779.279231101</v>
      </c>
      <c r="F42" s="146">
        <f>AVERAGE(F38:F41)</f>
        <v>31301835</v>
      </c>
      <c r="G42" s="148">
        <f>AVERAGE(G38:G41)</f>
        <v>35977534.521117292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11.8</v>
      </c>
      <c r="E43" s="139"/>
      <c r="F43" s="151">
        <v>13.12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9.7910912101494922</v>
      </c>
      <c r="E44" s="154"/>
      <c r="F44" s="153">
        <f>F43*$B$34</f>
        <v>10.886365820098415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9.7813001189393436</v>
      </c>
      <c r="E45" s="157"/>
      <c r="F45" s="156">
        <f>F44*$B$30/100</f>
        <v>10.875479454278318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0.15650080190302951</v>
      </c>
      <c r="E46" s="159"/>
      <c r="F46" s="160">
        <f>F45/$B$45</f>
        <v>0.1740076712684531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36076656.900174193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3.1987114382929713E-3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50mg and Amodiaquine 135mg</v>
      </c>
    </row>
    <row r="56" spans="1:12" ht="26.25" customHeight="1" x14ac:dyDescent="0.4">
      <c r="A56" s="176" t="s">
        <v>82</v>
      </c>
      <c r="B56" s="177">
        <v>135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350.59199999999998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100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3</v>
      </c>
      <c r="C60" s="327" t="s">
        <v>89</v>
      </c>
      <c r="D60" s="330">
        <v>348.63</v>
      </c>
      <c r="E60" s="181">
        <v>1</v>
      </c>
      <c r="F60" s="182"/>
      <c r="G60" s="271" t="str">
        <f>IF(ISBLANK(F60),"-",(F60/$D$50*$D$47*$B$68)*($B$57/$D$60))</f>
        <v>-</v>
      </c>
      <c r="H60" s="183" t="str">
        <f>IF(ISBLANK(F60),"-",G60/$B$56)</f>
        <v>-</v>
      </c>
      <c r="L60" s="111"/>
    </row>
    <row r="61" spans="1:12" s="14" customFormat="1" ht="26.25" customHeight="1" x14ac:dyDescent="0.4">
      <c r="A61" s="123" t="s">
        <v>90</v>
      </c>
      <c r="B61" s="124">
        <v>20</v>
      </c>
      <c r="C61" s="328"/>
      <c r="D61" s="331"/>
      <c r="E61" s="184">
        <v>2</v>
      </c>
      <c r="F61" s="136">
        <v>39601020</v>
      </c>
      <c r="G61" s="272">
        <f>IF(ISBLANK(F61),"-",(F61/$D$50*$D$47*$B$68)*($B$57/$D$60))</f>
        <v>147.18246378726795</v>
      </c>
      <c r="H61" s="185">
        <f t="shared" ref="H61:H71" si="0">IF(ISBLANK(F61),"-",G61/$B$56)</f>
        <v>1.090240472498281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39763775</v>
      </c>
      <c r="G62" s="272">
        <f>IF(ISBLANK(F62),"-",(F62/$D$50*$D$47*$B$68)*($B$57/$D$60))</f>
        <v>147.78736441593099</v>
      </c>
      <c r="H62" s="185">
        <f t="shared" si="0"/>
        <v>1.0947212178957852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351.16</v>
      </c>
      <c r="E64" s="181">
        <v>1</v>
      </c>
      <c r="F64" s="182">
        <v>38802014</v>
      </c>
      <c r="G64" s="273">
        <f>IF(ISBLANK(F64),"-",(F64/$D$50*$D$47*$B$68)*($B$57/$D$64))</f>
        <v>143.1738422740371</v>
      </c>
      <c r="H64" s="189">
        <f>IF(ISBLANK(F64),"-",G64/$B$56)</f>
        <v>1.0605469798076823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39072360</v>
      </c>
      <c r="G65" s="274">
        <f>IF(ISBLANK(F65),"-",(F65/$D$50*$D$47*$B$68)*($B$57/$D$64))</f>
        <v>144.17138007100343</v>
      </c>
      <c r="H65" s="190">
        <f t="shared" si="0"/>
        <v>1.0679361486740995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39564771</v>
      </c>
      <c r="G66" s="274">
        <f>IF(ISBLANK(F66),"-",(F66/$D$50*$D$47*$B$68)*($B$57/$D$64))</f>
        <v>145.98830572975919</v>
      </c>
      <c r="H66" s="190">
        <f t="shared" si="0"/>
        <v>1.0813948572574754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666.66666666666674</v>
      </c>
      <c r="C68" s="327" t="s">
        <v>99</v>
      </c>
      <c r="D68" s="330">
        <v>346.92</v>
      </c>
      <c r="E68" s="181">
        <v>1</v>
      </c>
      <c r="F68" s="182">
        <v>39735955</v>
      </c>
      <c r="G68" s="273">
        <f>IF(ISBLANK(F68),"-",(F68/$D$50*$D$47*$B$68)*($B$57/$D$68))</f>
        <v>148.41191529127875</v>
      </c>
      <c r="H68" s="185">
        <f>IF(ISBLANK(F68),"-",G68/$B$56)</f>
        <v>1.0993475206761389</v>
      </c>
    </row>
    <row r="69" spans="1:8" ht="27" customHeight="1" x14ac:dyDescent="0.4">
      <c r="A69" s="171" t="s">
        <v>100</v>
      </c>
      <c r="B69" s="193">
        <f>(D47*B68)/B56*B57</f>
        <v>346.2637037037037</v>
      </c>
      <c r="C69" s="328"/>
      <c r="D69" s="331"/>
      <c r="E69" s="184">
        <v>2</v>
      </c>
      <c r="F69" s="136">
        <v>39658271</v>
      </c>
      <c r="G69" s="274">
        <f>IF(ISBLANK(F69),"-",(F69/$D$50*$D$47*$B$68)*($B$57/$D$68))</f>
        <v>148.12176922010747</v>
      </c>
      <c r="H69" s="185">
        <f t="shared" si="0"/>
        <v>1.0971982905193145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/>
      <c r="G70" s="274" t="str">
        <f>IF(ISBLANK(F70),"-",(F70/$D$50*$D$47*$B$68)*($B$57/$D$68))</f>
        <v>-</v>
      </c>
      <c r="H70" s="185" t="str">
        <f t="shared" si="0"/>
        <v>-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1.0844836410469678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1.396843859722246E-2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7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1.0844836410469678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17041876</v>
      </c>
      <c r="E91" s="132">
        <f>IF(ISBLANK(D91),"-",$D$101/$D$98*D91)</f>
        <v>27223304.597760834</v>
      </c>
      <c r="F91" s="281">
        <v>18825247</v>
      </c>
      <c r="G91" s="133">
        <f>IF(ISBLANK(F91),"-",$D$101/$F$98*F91)</f>
        <v>27046576.255475905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16927886</v>
      </c>
      <c r="E92" s="137">
        <f>IF(ISBLANK(D92),"-",$D$101/$D$98*D92)</f>
        <v>27041212.879038155</v>
      </c>
      <c r="F92" s="282">
        <v>18918178</v>
      </c>
      <c r="G92" s="138">
        <f>IF(ISBLANK(F92),"-",$D$101/$F$98*F92)</f>
        <v>27180091.920794804</v>
      </c>
      <c r="I92" s="324">
        <f>ABS((F96/D96*D95)-F95)/D95</f>
        <v>1.8341259748005396E-3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17078749</v>
      </c>
      <c r="E93" s="137">
        <f>IF(ISBLANK(D93),"-",$D$101/$D$98*D93)</f>
        <v>27282206.851857346</v>
      </c>
      <c r="F93" s="282">
        <v>18921968</v>
      </c>
      <c r="G93" s="138">
        <f>IF(ISBLANK(F93),"-",$D$101/$F$98*F93)</f>
        <v>27185537.083028704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17016170.333333332</v>
      </c>
      <c r="E95" s="147">
        <f>AVERAGE(E91:E94)</f>
        <v>27182241.442885444</v>
      </c>
      <c r="F95" s="216">
        <f>AVERAGE(F91:F94)</f>
        <v>18888464.333333332</v>
      </c>
      <c r="G95" s="217">
        <f>AVERAGE(G91:G94)</f>
        <v>27137401.753099803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11.8</v>
      </c>
      <c r="E96" s="139"/>
      <c r="F96" s="151">
        <v>13.12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9.7910912101494922</v>
      </c>
      <c r="E97" s="154"/>
      <c r="F97" s="153">
        <f>F96*$B$87</f>
        <v>10.886365820098415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9.7813001189393436</v>
      </c>
      <c r="E98" s="157"/>
      <c r="F98" s="156">
        <f>F97*$B$83/100</f>
        <v>10.875479454278318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4.6950240570908845E-2</v>
      </c>
      <c r="E99" s="157"/>
      <c r="F99" s="160">
        <f>F98/$B$98</f>
        <v>5.2202301380535929E-2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27159821.597992625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3.5687161058677993E-3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10</v>
      </c>
      <c r="C108" s="241">
        <v>1</v>
      </c>
      <c r="D108" s="242">
        <v>23879291</v>
      </c>
      <c r="E108" s="277">
        <f t="shared" ref="E108:E113" si="1">IF(ISBLANK(D108),"-",D108/$D$103*$D$100*$B$116)</f>
        <v>118.6938681967728</v>
      </c>
      <c r="F108" s="243">
        <f>IF(ISBLANK(D108), "-", E108/$B$56)</f>
        <v>0.87921383849461332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24021748</v>
      </c>
      <c r="E109" s="278">
        <f t="shared" si="1"/>
        <v>119.40196176545153</v>
      </c>
      <c r="F109" s="244">
        <f t="shared" ref="F109:F113" si="2">IF(ISBLANK(D109), "-", E109/$B$56)</f>
        <v>0.88445897604038171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23681448</v>
      </c>
      <c r="E110" s="278">
        <f t="shared" si="1"/>
        <v>117.71047421888402</v>
      </c>
      <c r="F110" s="244">
        <f>IF(ISBLANK(D110), "-", E110/$B$56)</f>
        <v>0.87192943865840011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23699392</v>
      </c>
      <c r="E111" s="278">
        <f t="shared" si="1"/>
        <v>117.79966626277354</v>
      </c>
      <c r="F111" s="244">
        <f t="shared" si="2"/>
        <v>0.87259012046498918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23858420</v>
      </c>
      <c r="E112" s="278">
        <f t="shared" si="1"/>
        <v>118.5901272723402</v>
      </c>
      <c r="F112" s="244">
        <f>IF(ISBLANK(D112), "-", E112/$B$56)</f>
        <v>0.87844538720251997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23601436</v>
      </c>
      <c r="E113" s="279">
        <f t="shared" si="1"/>
        <v>117.31276836647154</v>
      </c>
      <c r="F113" s="247">
        <f t="shared" si="2"/>
        <v>0.86898346938127069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0.87593687170702916</v>
      </c>
    </row>
    <row r="116" spans="1:10" ht="27" customHeight="1" x14ac:dyDescent="0.4">
      <c r="A116" s="123" t="s">
        <v>98</v>
      </c>
      <c r="B116" s="155">
        <f>(B115/B114)*(B113/B112)*(B111/B110)*(B109/B108)*B107</f>
        <v>1800</v>
      </c>
      <c r="C116" s="252"/>
      <c r="D116" s="253"/>
      <c r="E116" s="214" t="s">
        <v>79</v>
      </c>
      <c r="F116" s="254">
        <f>STDEV(F108:F113)/F115</f>
        <v>6.5635063065583362E-3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0.87593687170702916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NDQD201508210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50mg and Amodiaquine 135mg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3182882</v>
      </c>
      <c r="E38" s="132">
        <f>IF(ISBLANK(D38),"-",$D$48/$D$45*D38)</f>
        <v>2929907.8927262323</v>
      </c>
      <c r="F38" s="131">
        <v>3653857</v>
      </c>
      <c r="G38" s="133">
        <f>IF(ISBLANK(F38),"-",$D$48/$F$45*F38)</f>
        <v>2934301.6747214552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3186011</v>
      </c>
      <c r="E39" s="137">
        <f>IF(ISBLANK(D39),"-",$D$48/$D$45*D39)</f>
        <v>2932788.2011373956</v>
      </c>
      <c r="F39" s="136">
        <v>3670313</v>
      </c>
      <c r="G39" s="138">
        <f>IF(ISBLANK(F39),"-",$D$48/$F$45*F39)</f>
        <v>2947516.9889385183</v>
      </c>
      <c r="I39" s="324">
        <f>ABS((F43/D43*D42)-F42)/D42</f>
        <v>2.9479397627487371E-3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3193921</v>
      </c>
      <c r="E40" s="137">
        <f>IF(ISBLANK(D40),"-",$D$48/$D$45*D40)</f>
        <v>2940069.5177025287</v>
      </c>
      <c r="F40" s="136">
        <v>3665418</v>
      </c>
      <c r="G40" s="138">
        <f>IF(ISBLANK(F40),"-",$D$48/$F$45*F40)</f>
        <v>2943585.9629849135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3187604.6666666665</v>
      </c>
      <c r="E42" s="147">
        <f>AVERAGE(E38:E41)</f>
        <v>2934255.2038553855</v>
      </c>
      <c r="F42" s="146">
        <f>AVERAGE(F38:F41)</f>
        <v>3663196</v>
      </c>
      <c r="G42" s="148">
        <f>AVERAGE(G38:G41)</f>
        <v>2941801.5422149622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21.88</v>
      </c>
      <c r="E43" s="204"/>
      <c r="F43" s="151">
        <v>25.08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21.88</v>
      </c>
      <c r="E44" s="222"/>
      <c r="F44" s="153">
        <f>F43*$B$34</f>
        <v>25.08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21.726839999999996</v>
      </c>
      <c r="E45" s="200"/>
      <c r="F45" s="156">
        <f>F44*$B$30/100</f>
        <v>24.904440000000001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4.3453679999999988</v>
      </c>
      <c r="E46" s="159"/>
      <c r="F46" s="160">
        <f>F45/$B$45</f>
        <v>4.9808880000000002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2938028.3730351739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2.320360094796769E-3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50mg and Amodiaquine 135mg</v>
      </c>
    </row>
    <row r="56" spans="1:12" ht="26.25" customHeight="1" x14ac:dyDescent="0.4">
      <c r="A56" s="176" t="s">
        <v>82</v>
      </c>
      <c r="B56" s="177">
        <v>50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350.59199999999998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10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347.5</v>
      </c>
      <c r="E60" s="181">
        <v>1</v>
      </c>
      <c r="F60" s="182">
        <v>3482067</v>
      </c>
      <c r="G60" s="271">
        <f>IF(ISBLANK(F60),"-",(F60/$D$50*$D$47*$B$68)*($B$57/$D$60))</f>
        <v>47.828671952793613</v>
      </c>
      <c r="H60" s="183">
        <f>IF(ISBLANK(F60),"-",G60/$B$56)</f>
        <v>0.95657343905587222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3537453</v>
      </c>
      <c r="G61" s="272">
        <f>IF(ISBLANK(F61),"-",(F61/$D$50*$D$47*$B$68)*($B$57/$D$60))</f>
        <v>48.589438137010461</v>
      </c>
      <c r="H61" s="185">
        <f t="shared" ref="H61:H71" si="0">IF(ISBLANK(F61),"-",G61/$B$56)</f>
        <v>0.9717887627402092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3528374</v>
      </c>
      <c r="G62" s="272">
        <f>IF(ISBLANK(F62),"-",(F62/$D$50*$D$47*$B$68)*($B$57/$D$60))</f>
        <v>48.464731601306404</v>
      </c>
      <c r="H62" s="185">
        <f t="shared" si="0"/>
        <v>0.96929463202612809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349.47</v>
      </c>
      <c r="E64" s="181">
        <v>1</v>
      </c>
      <c r="F64" s="182">
        <v>3589486</v>
      </c>
      <c r="G64" s="273">
        <f>IF(ISBLANK(F64),"-",(F64/$D$50*$D$47*$B$68)*($B$57/$D$64))</f>
        <v>49.026215685427033</v>
      </c>
      <c r="H64" s="189">
        <f>IF(ISBLANK(F64),"-",G64/$B$56)</f>
        <v>0.98052431370854065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3592743</v>
      </c>
      <c r="G65" s="274">
        <f>IF(ISBLANK(F65),"-",(F65/$D$50*$D$47*$B$68)*($B$57/$D$64))</f>
        <v>49.070700713224163</v>
      </c>
      <c r="H65" s="190">
        <f t="shared" si="0"/>
        <v>0.98141401426448327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3587031</v>
      </c>
      <c r="G66" s="274">
        <f>IF(ISBLANK(F66),"-",(F66/$D$50*$D$47*$B$68)*($B$57/$D$64))</f>
        <v>48.992684600612179</v>
      </c>
      <c r="H66" s="190">
        <f t="shared" si="0"/>
        <v>0.97985369201224359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10</v>
      </c>
      <c r="C68" s="327" t="s">
        <v>99</v>
      </c>
      <c r="D68" s="330">
        <v>349.46</v>
      </c>
      <c r="E68" s="181">
        <v>1</v>
      </c>
      <c r="F68" s="182">
        <v>3589845</v>
      </c>
      <c r="G68" s="273">
        <f>IF(ISBLANK(F68),"-",(F68/$D$50*$D$47*$B$68)*($B$57/$D$68))</f>
        <v>49.032522062857502</v>
      </c>
      <c r="H68" s="185">
        <f>IF(ISBLANK(F68),"-",G68/$B$56)</f>
        <v>0.98065044125715006</v>
      </c>
    </row>
    <row r="69" spans="1:8" ht="27" customHeight="1" thickBot="1" x14ac:dyDescent="0.45">
      <c r="A69" s="171" t="s">
        <v>100</v>
      </c>
      <c r="B69" s="193">
        <f>(D47*B68)/B56*B57</f>
        <v>280.47359999999998</v>
      </c>
      <c r="C69" s="328"/>
      <c r="D69" s="331"/>
      <c r="E69" s="184">
        <v>2</v>
      </c>
      <c r="F69" s="136">
        <v>3630085</v>
      </c>
      <c r="G69" s="274">
        <f>IF(ISBLANK(F69),"-",(F69/$D$50*$D$47*$B$68)*($B$57/$D$68))</f>
        <v>49.582147098982837</v>
      </c>
      <c r="H69" s="185">
        <f t="shared" si="0"/>
        <v>0.99164294197965674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3667583</v>
      </c>
      <c r="G70" s="274">
        <f>IF(ISBLANK(F70),"-",(F70/$D$50*$D$47*$B$68)*($B$57/$D$68))</f>
        <v>50.09432005138413</v>
      </c>
      <c r="H70" s="185">
        <f t="shared" si="0"/>
        <v>1.0018864010276827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0.97929207089688497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1.3233662076135244E-2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0.97929207089688497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971735</v>
      </c>
      <c r="E91" s="132">
        <f>IF(ISBLANK(D91),"-",$D$101/$D$98*D91)</f>
        <v>1118127.3945037569</v>
      </c>
      <c r="F91" s="281">
        <v>1126249</v>
      </c>
      <c r="G91" s="133">
        <f>IF(ISBLANK(F91),"-",$D$101/$F$98*F91)</f>
        <v>1130570.4926511096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961876</v>
      </c>
      <c r="E92" s="137">
        <f>IF(ISBLANK(D92),"-",$D$101/$D$98*D92)</f>
        <v>1106783.130910892</v>
      </c>
      <c r="F92" s="282">
        <v>1112255</v>
      </c>
      <c r="G92" s="138">
        <f>IF(ISBLANK(F92),"-",$D$101/$F$98*F92)</f>
        <v>1116522.7967382523</v>
      </c>
      <c r="I92" s="324">
        <f>ABS((F96/D96*D95)-F95)/D95</f>
        <v>8.6013580444531841E-3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970867</v>
      </c>
      <c r="E93" s="137">
        <f>IF(ISBLANK(D93),"-",$D$101/$D$98*D93)</f>
        <v>1117128.6298421677</v>
      </c>
      <c r="F93" s="282">
        <v>1115743</v>
      </c>
      <c r="G93" s="138">
        <f>IF(ISBLANK(F93),"-",$D$101/$F$98*F93)</f>
        <v>1120024.1804272651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968159.33333333337</v>
      </c>
      <c r="E95" s="147">
        <f>AVERAGE(E91:E94)</f>
        <v>1114013.0517522723</v>
      </c>
      <c r="F95" s="216">
        <f>AVERAGE(F91:F94)</f>
        <v>1118082.3333333333</v>
      </c>
      <c r="G95" s="217">
        <f>AVERAGE(G91:G94)</f>
        <v>1122372.4899388757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21.88</v>
      </c>
      <c r="E96" s="204"/>
      <c r="F96" s="151">
        <v>25.08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21.88</v>
      </c>
      <c r="E97" s="222"/>
      <c r="F97" s="153">
        <f>F96*$B$87</f>
        <v>25.08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21.726839999999996</v>
      </c>
      <c r="E98" s="200"/>
      <c r="F98" s="156">
        <f>F97*$B$83/100</f>
        <v>24.904440000000001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4.3453679999999995E-2</v>
      </c>
      <c r="E99" s="200"/>
      <c r="F99" s="160">
        <f>F98/$B$98</f>
        <v>4.980888E-2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1118192.7708455739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6.8186201797960349E-3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10</v>
      </c>
      <c r="C108" s="241">
        <v>1</v>
      </c>
      <c r="D108" s="242">
        <v>1075945</v>
      </c>
      <c r="E108" s="277">
        <f t="shared" ref="E108:E113" si="1">IF(ISBLANK(D108),"-",D108/$D$103*$D$100*$B$116)</f>
        <v>48.110890539310759</v>
      </c>
      <c r="F108" s="243">
        <f>IF(ISBLANK(D108), "-", E108/$B$56)</f>
        <v>0.96221781078621516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1074666</v>
      </c>
      <c r="E109" s="278">
        <f t="shared" si="1"/>
        <v>48.053700042584829</v>
      </c>
      <c r="F109" s="244">
        <f t="shared" ref="F109:F113" si="2">IF(ISBLANK(D109), "-", E109/$B$56)</f>
        <v>0.96107400085169659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1091804</v>
      </c>
      <c r="E110" s="278">
        <f t="shared" si="1"/>
        <v>48.820025869706768</v>
      </c>
      <c r="F110" s="244">
        <f>IF(ISBLANK(D110), "-", E110/$B$56)</f>
        <v>0.97640051739413536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1086751</v>
      </c>
      <c r="E111" s="278">
        <f t="shared" si="1"/>
        <v>48.594080928380635</v>
      </c>
      <c r="F111" s="244">
        <f t="shared" si="2"/>
        <v>0.97188161856761268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1079339</v>
      </c>
      <c r="E112" s="278">
        <f t="shared" si="1"/>
        <v>48.262653280427102</v>
      </c>
      <c r="F112" s="244">
        <f>IF(ISBLANK(D112), "-", E112/$B$56)</f>
        <v>0.96525306560854207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1092428</v>
      </c>
      <c r="E113" s="279">
        <f t="shared" si="1"/>
        <v>48.847928035427621</v>
      </c>
      <c r="F113" s="247">
        <f t="shared" si="2"/>
        <v>0.97695856070855247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0.96896426231945909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1000</v>
      </c>
      <c r="C116" s="252"/>
      <c r="D116" s="253"/>
      <c r="E116" s="214" t="s">
        <v>79</v>
      </c>
      <c r="F116" s="254">
        <f>STDEV(F108:F113)/F115</f>
        <v>7.2867659819043059E-3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0.96896426231945909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2015-12-14T09:28:39Z</cp:lastPrinted>
  <dcterms:created xsi:type="dcterms:W3CDTF">2005-07-05T10:19:27Z</dcterms:created>
  <dcterms:modified xsi:type="dcterms:W3CDTF">2015-12-14T09:28:47Z</dcterms:modified>
</cp:coreProperties>
</file>