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42" i="1" l="1"/>
  <c r="B21" i="1"/>
  <c r="B42" i="4"/>
  <c r="B21" i="4"/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<sst xmlns="http://schemas.openxmlformats.org/spreadsheetml/2006/main" count="435" uniqueCount="132">
  <si>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</si>
  <si>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</si>
  <si>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</si>
  <si>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</si>
  <si>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</si>
  <si>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</si>
  <si>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</si>
  <si>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</si>
  <si>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</si>
  <si>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</si>
  <si>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</si>
  <si>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</si>
  <si>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</si>
  <si>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</si>
  <si>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</si>
  <si>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</si>
  <si>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</si>
  <si>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</si>
  <si>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</si>
  <si>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</si>
  <si>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</si>
  <si>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</si>
  <si>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</si>
  <si>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</si>
  <si>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</si>
  <si>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</si>
  <si>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</si>
  <si>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</si>
  <si>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</si>
  <si>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</si>
  <si>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</si>
  <si>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</si>
  <si>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</si>
  <si>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</si>
  <si>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</si>
  <si>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</si>
  <si>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</si>
  <si>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</si>
  <si>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</si>
  <si>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</si>
  <si>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</si>
  <si>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</si>
  <si>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</si>
  <si>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</si>
  <si>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</si>
  <si>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</si>
  <si>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</si>
  <si>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</si>
  <si>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</si>
  <si>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</si>
  <si>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</si>
  <si>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</si>
  <si>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</si>
  <si>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</si>
  <si>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</si>
  <si>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</si>
  <si>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</si>
  <si>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</si>
  <si>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</si>
  <si>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</si>
  <si>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</si>
  <si>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</si>
  <si>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</si>
  <si>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</si>
  <si>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</si>
  <si>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</si>
  <si>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</si>
  <si>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</si>
  <si>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</si>
  <si>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</si>
  <si>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</si>
  <si>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</si>
  <si>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</si>
  <si>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</si>
  <si>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</si>
  <si>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</si>
  <si>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</si>
  <si>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</si>
  <si>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</si>
  <si>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</si>
  <si>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</si>
  <si>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</si>
  <si>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</si>
  <si>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</si>
  <si>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</si>
  <si>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</si>
  <si>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</si>
  <si>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</si>
  <si>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</si>
  <si>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</si>
  <si>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</si>
  <si>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</si>
  <si>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</si>
  <si>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</si>
  <si>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</si>
  <si>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</si>
  <si>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</si>
  <si>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</si>
  <si>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</si>
  <si>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</si>
  <si>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</si>
  <si>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</si>
  <si>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</si>
  <si>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</si>
  <si>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</si>
  <si>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</si>
  <si>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</si>
  <si>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</si>
  <si>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</si>
  <si>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</si>
  <si>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</si>
  <si>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</si>
  <si>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</si>
  <si>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</si>
  <si>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</si>
  <si>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</si>
  <si>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</si>
  <si>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</si>
  <si>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</si>
  <si>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</si>
  <si>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</si>
  <si>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</si>
  <si>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</si>
  <si>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</si>
  <si>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</si>
  <si>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</si>
  <si>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</si>
  <si>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</si>
  <si>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</si>
  <si>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</si>
  <si>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Each bilayered tablet contains Artesunate 50mg and Amodiaquine 135mg</t>
  </si>
  <si>
    <t>NDQD201508212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</si>
</sst>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7" fillId="3" borderId="60" xfId="0" applyFont="1" applyFill="1" applyBorder="1" applyAlignment="1" applyProtection="1">
      <alignment horizontal="center"/>
      <protection locked="0"/>
    </xf>
    <xf numFmtId="0" fontId="7" fillId="3" borderId="61" xfId="0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  <xf numFmtId="0" fontId="7" fillId="3" borderId="65" xfId="0" applyFont="1" applyFill="1" applyBorder="1" applyAlignment="1" applyProtection="1">
      <alignment horizontal="center"/>
      <protection locked="0"/>
    </xf>
    <xf numFmtId="0" fontId="7" fillId="3" borderId="66" xfId="0" applyFont="1" applyFill="1" applyBorder="1" applyAlignment="1" applyProtection="1">
      <alignment horizontal="center"/>
      <protection locked="0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2" fontId="7" fillId="3" borderId="6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80" zoomScaleNormal="100" zoomScaleSheetLayoutView="80" workbookViewId="0">
      <selection activeCell="B42" sqref="B42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11.8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B20/25*4/10</f>
        <v>0.18880000000000002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28224890</v>
      </c>
      <c r="C24" s="18">
        <v>2541.1</v>
      </c>
      <c r="D24" s="19">
        <v>1.9</v>
      </c>
      <c r="E24" s="20">
        <v>2</v>
      </c>
    </row>
    <row r="25" spans="1:5" ht="16.5" customHeight="1" x14ac:dyDescent="0.3">
      <c r="A25" s="17">
        <v>2</v>
      </c>
      <c r="B25" s="18">
        <v>28430968</v>
      </c>
      <c r="C25" s="18">
        <v>2545.6999999999998</v>
      </c>
      <c r="D25" s="19">
        <v>2</v>
      </c>
      <c r="E25" s="19">
        <v>2</v>
      </c>
    </row>
    <row r="26" spans="1:5" ht="16.5" customHeight="1" x14ac:dyDescent="0.3">
      <c r="A26" s="17">
        <v>3</v>
      </c>
      <c r="B26" s="18">
        <v>28447497</v>
      </c>
      <c r="C26" s="18">
        <v>2569.3000000000002</v>
      </c>
      <c r="D26" s="19">
        <v>1.9</v>
      </c>
      <c r="E26" s="19">
        <v>2</v>
      </c>
    </row>
    <row r="27" spans="1:5" ht="16.5" customHeight="1" x14ac:dyDescent="0.3">
      <c r="A27" s="17">
        <v>4</v>
      </c>
      <c r="B27" s="18">
        <v>28590911</v>
      </c>
      <c r="C27" s="18">
        <v>2555.3000000000002</v>
      </c>
      <c r="D27" s="19">
        <v>1.9</v>
      </c>
      <c r="E27" s="19">
        <v>2.1</v>
      </c>
    </row>
    <row r="28" spans="1:5" ht="16.5" customHeight="1" x14ac:dyDescent="0.3">
      <c r="A28" s="17">
        <v>5</v>
      </c>
      <c r="B28" s="18">
        <v>28786727</v>
      </c>
      <c r="C28" s="18">
        <v>2559.1</v>
      </c>
      <c r="D28" s="19">
        <v>1.9</v>
      </c>
      <c r="E28" s="19">
        <v>2.1</v>
      </c>
    </row>
    <row r="29" spans="1:5" ht="16.5" customHeight="1" x14ac:dyDescent="0.3">
      <c r="A29" s="17">
        <v>6</v>
      </c>
      <c r="B29" s="21">
        <v>29117280</v>
      </c>
      <c r="C29" s="21">
        <v>2566.1</v>
      </c>
      <c r="D29" s="22">
        <v>1.9</v>
      </c>
      <c r="E29" s="22">
        <v>2.1</v>
      </c>
    </row>
    <row r="30" spans="1:5" ht="16.5" customHeight="1" x14ac:dyDescent="0.3">
      <c r="A30" s="23" t="s">
        <v>13</v>
      </c>
      <c r="B30" s="24">
        <f>AVERAGE(B24:B29)</f>
        <v>28599712.166666668</v>
      </c>
      <c r="C30" s="25">
        <f>AVERAGE(C24:C29)</f>
        <v>2556.1</v>
      </c>
      <c r="D30" s="26">
        <f>AVERAGE(D24:D29)</f>
        <v>1.9166666666666667</v>
      </c>
      <c r="E30" s="26">
        <f>AVERAGE(E24:E29)</f>
        <v>2.0499999999999998</v>
      </c>
    </row>
    <row r="31" spans="1:5" ht="16.5" customHeight="1" x14ac:dyDescent="0.3">
      <c r="A31" s="27" t="s">
        <v>14</v>
      </c>
      <c r="B31" s="28">
        <f>(STDEV(B24:B29)/B30)</f>
        <v>1.100231530408991E-2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11.8</v>
      </c>
      <c r="C41" s="71"/>
      <c r="D41" s="71"/>
      <c r="E41" s="71"/>
    </row>
    <row r="42" spans="1:5" ht="16.5" customHeight="1" x14ac:dyDescent="0.3">
      <c r="A42" s="8" t="s">
        <v>7</v>
      </c>
      <c r="B42" s="13">
        <f>B20/25*3/25</f>
        <v>5.6640000000000003E-2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28224890</v>
      </c>
      <c r="C45" s="18">
        <v>2541.1</v>
      </c>
      <c r="D45" s="19">
        <v>1.9</v>
      </c>
      <c r="E45" s="20">
        <v>2</v>
      </c>
    </row>
    <row r="46" spans="1:5" ht="16.5" customHeight="1" x14ac:dyDescent="0.3">
      <c r="A46" s="17">
        <v>2</v>
      </c>
      <c r="B46" s="18">
        <v>28430968</v>
      </c>
      <c r="C46" s="18">
        <v>2545.6999999999998</v>
      </c>
      <c r="D46" s="19">
        <v>2</v>
      </c>
      <c r="E46" s="19">
        <v>2</v>
      </c>
    </row>
    <row r="47" spans="1:5" ht="16.5" customHeight="1" x14ac:dyDescent="0.3">
      <c r="A47" s="17">
        <v>3</v>
      </c>
      <c r="B47" s="18">
        <v>28447497</v>
      </c>
      <c r="C47" s="18">
        <v>2569.3000000000002</v>
      </c>
      <c r="D47" s="19">
        <v>1.9</v>
      </c>
      <c r="E47" s="19">
        <v>2</v>
      </c>
    </row>
    <row r="48" spans="1:5" ht="16.5" customHeight="1" x14ac:dyDescent="0.3">
      <c r="A48" s="17">
        <v>4</v>
      </c>
      <c r="B48" s="18">
        <v>28590911</v>
      </c>
      <c r="C48" s="18">
        <v>2555.3000000000002</v>
      </c>
      <c r="D48" s="19">
        <v>1.9</v>
      </c>
      <c r="E48" s="19">
        <v>2.1</v>
      </c>
    </row>
    <row r="49" spans="1:7" ht="16.5" customHeight="1" x14ac:dyDescent="0.3">
      <c r="A49" s="17">
        <v>5</v>
      </c>
      <c r="B49" s="18">
        <v>28786727</v>
      </c>
      <c r="C49" s="18">
        <v>2559.1</v>
      </c>
      <c r="D49" s="19">
        <v>1.9</v>
      </c>
      <c r="E49" s="19">
        <v>2.1</v>
      </c>
    </row>
    <row r="50" spans="1:7" ht="16.5" customHeight="1" x14ac:dyDescent="0.3">
      <c r="A50" s="17">
        <v>6</v>
      </c>
      <c r="B50" s="21">
        <v>29117280</v>
      </c>
      <c r="C50" s="21">
        <v>2566.1</v>
      </c>
      <c r="D50" s="22">
        <v>1.9</v>
      </c>
      <c r="E50" s="22">
        <v>2.1</v>
      </c>
    </row>
    <row r="51" spans="1:7" ht="16.5" customHeight="1" x14ac:dyDescent="0.3">
      <c r="A51" s="23" t="s">
        <v>13</v>
      </c>
      <c r="B51" s="24">
        <f>AVERAGE(B45:B50)</f>
        <v>28599712.166666668</v>
      </c>
      <c r="C51" s="25">
        <f>AVERAGE(C45:C50)</f>
        <v>2556.1</v>
      </c>
      <c r="D51" s="26">
        <f>AVERAGE(D45:D50)</f>
        <v>1.9166666666666667</v>
      </c>
      <c r="E51" s="26">
        <f>AVERAGE(E45:E50)</f>
        <v>2.0499999999999998</v>
      </c>
    </row>
    <row r="52" spans="1:7" ht="16.5" customHeight="1" x14ac:dyDescent="0.3">
      <c r="A52" s="27" t="s">
        <v>14</v>
      </c>
      <c r="B52" s="28">
        <f>(STDEV(B45:B50)/B51)</f>
        <v>1.100231530408991E-2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311" t="s">
        <v>21</v>
      </c>
      <c r="C59" s="311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7" zoomScale="90" zoomScaleNormal="100" zoomScaleSheetLayoutView="90" workbookViewId="0">
      <selection activeCell="B43" sqref="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21.88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B20/5</f>
        <v>4.3759999999999994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298">
        <v>3804356</v>
      </c>
      <c r="C24" s="299">
        <v>8482.7999999999993</v>
      </c>
      <c r="D24" s="300">
        <v>1</v>
      </c>
      <c r="E24" s="301">
        <v>8.5</v>
      </c>
    </row>
    <row r="25" spans="1:6" ht="16.5" customHeight="1" x14ac:dyDescent="0.3">
      <c r="A25" s="17">
        <v>2</v>
      </c>
      <c r="B25" s="302">
        <v>3833845</v>
      </c>
      <c r="C25" s="303">
        <v>8435.4</v>
      </c>
      <c r="D25" s="304">
        <v>1</v>
      </c>
      <c r="E25" s="305">
        <v>8.5</v>
      </c>
    </row>
    <row r="26" spans="1:6" ht="16.5" customHeight="1" x14ac:dyDescent="0.3">
      <c r="A26" s="17">
        <v>3</v>
      </c>
      <c r="B26" s="302">
        <v>3831175</v>
      </c>
      <c r="C26" s="303">
        <v>8432.4</v>
      </c>
      <c r="D26" s="304">
        <v>1</v>
      </c>
      <c r="E26" s="305">
        <v>8.5</v>
      </c>
    </row>
    <row r="27" spans="1:6" ht="16.5" customHeight="1" x14ac:dyDescent="0.3">
      <c r="A27" s="17">
        <v>4</v>
      </c>
      <c r="B27" s="302">
        <v>3809340</v>
      </c>
      <c r="C27" s="303">
        <v>8471.2000000000007</v>
      </c>
      <c r="D27" s="304">
        <v>1</v>
      </c>
      <c r="E27" s="305">
        <v>8.5</v>
      </c>
    </row>
    <row r="28" spans="1:6" ht="16.5" customHeight="1" x14ac:dyDescent="0.3">
      <c r="A28" s="17">
        <v>5</v>
      </c>
      <c r="B28" s="302">
        <v>3820925</v>
      </c>
      <c r="C28" s="303">
        <v>8451.7000000000007</v>
      </c>
      <c r="D28" s="304">
        <v>1.1000000000000001</v>
      </c>
      <c r="E28" s="305">
        <v>8.5</v>
      </c>
    </row>
    <row r="29" spans="1:6" ht="16.5" customHeight="1" x14ac:dyDescent="0.3">
      <c r="A29" s="17">
        <v>6</v>
      </c>
      <c r="B29" s="306">
        <v>3831179</v>
      </c>
      <c r="C29" s="307">
        <v>8441.5</v>
      </c>
      <c r="D29" s="308">
        <v>1</v>
      </c>
      <c r="E29" s="309">
        <v>8.5</v>
      </c>
    </row>
    <row r="30" spans="1:6" ht="16.5" customHeight="1" x14ac:dyDescent="0.3">
      <c r="A30" s="23" t="s">
        <v>13</v>
      </c>
      <c r="B30" s="24">
        <f>AVERAGE(B24:B29)</f>
        <v>3821803.3333333335</v>
      </c>
      <c r="C30" s="25">
        <f>AVERAGE(C24:C29)</f>
        <v>8452.5</v>
      </c>
      <c r="D30" s="26">
        <f>AVERAGE(D24:D29)</f>
        <v>1.0166666666666666</v>
      </c>
      <c r="E30" s="26">
        <f>AVERAGE(E24:E29)</f>
        <v>8.5</v>
      </c>
    </row>
    <row r="31" spans="1:6" ht="16.5" customHeight="1" x14ac:dyDescent="0.3">
      <c r="A31" s="27" t="s">
        <v>14</v>
      </c>
      <c r="B31" s="28">
        <f>(STDEV(B24:B29)/B30)</f>
        <v>3.2707043226526248E-3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21.88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B21/100</f>
        <v>4.3759999999999993E-2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298">
        <v>3804356</v>
      </c>
      <c r="C45" s="299">
        <v>8482.7999999999993</v>
      </c>
      <c r="D45" s="300">
        <v>1</v>
      </c>
      <c r="E45" s="301">
        <v>8.5</v>
      </c>
    </row>
    <row r="46" spans="1:6" ht="16.5" customHeight="1" x14ac:dyDescent="0.3">
      <c r="A46" s="17">
        <v>2</v>
      </c>
      <c r="B46" s="302">
        <v>3833845</v>
      </c>
      <c r="C46" s="303">
        <v>8435.4</v>
      </c>
      <c r="D46" s="304">
        <v>1</v>
      </c>
      <c r="E46" s="305">
        <v>8.5</v>
      </c>
    </row>
    <row r="47" spans="1:6" ht="16.5" customHeight="1" x14ac:dyDescent="0.3">
      <c r="A47" s="17">
        <v>3</v>
      </c>
      <c r="B47" s="302">
        <v>3831175</v>
      </c>
      <c r="C47" s="303">
        <v>8432.4</v>
      </c>
      <c r="D47" s="304">
        <v>1</v>
      </c>
      <c r="E47" s="305">
        <v>8.5</v>
      </c>
    </row>
    <row r="48" spans="1:6" ht="16.5" customHeight="1" x14ac:dyDescent="0.3">
      <c r="A48" s="17">
        <v>4</v>
      </c>
      <c r="B48" s="302">
        <v>3809340</v>
      </c>
      <c r="C48" s="303">
        <v>8471.2000000000007</v>
      </c>
      <c r="D48" s="304">
        <v>1</v>
      </c>
      <c r="E48" s="305">
        <v>8.5</v>
      </c>
    </row>
    <row r="49" spans="1:7" ht="16.5" customHeight="1" x14ac:dyDescent="0.3">
      <c r="A49" s="17">
        <v>5</v>
      </c>
      <c r="B49" s="302">
        <v>3820925</v>
      </c>
      <c r="C49" s="303">
        <v>8451.7000000000007</v>
      </c>
      <c r="D49" s="304">
        <v>1.1000000000000001</v>
      </c>
      <c r="E49" s="305">
        <v>8.5</v>
      </c>
    </row>
    <row r="50" spans="1:7" ht="16.5" customHeight="1" x14ac:dyDescent="0.3">
      <c r="A50" s="17">
        <v>6</v>
      </c>
      <c r="B50" s="306">
        <v>3831179</v>
      </c>
      <c r="C50" s="307">
        <v>8441.5</v>
      </c>
      <c r="D50" s="308">
        <v>1</v>
      </c>
      <c r="E50" s="309">
        <v>8.5</v>
      </c>
    </row>
    <row r="51" spans="1:7" ht="16.5" customHeight="1" x14ac:dyDescent="0.3">
      <c r="A51" s="23" t="s">
        <v>13</v>
      </c>
      <c r="B51" s="24">
        <f>AVERAGE(B45:B50)</f>
        <v>3821803.3333333335</v>
      </c>
      <c r="C51" s="25">
        <f>AVERAGE(C45:C50)</f>
        <v>8452.5</v>
      </c>
      <c r="D51" s="26">
        <f>AVERAGE(D45:D50)</f>
        <v>1.0166666666666666</v>
      </c>
      <c r="E51" s="26">
        <f>AVERAGE(E45:E50)</f>
        <v>8.5</v>
      </c>
    </row>
    <row r="52" spans="1:7" ht="16.5" customHeight="1" x14ac:dyDescent="0.3">
      <c r="A52" s="27" t="s">
        <v>14</v>
      </c>
      <c r="B52" s="28">
        <f>(STDEV(B45:B50)/B51)</f>
        <v>3.2707043226526248E-3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1" t="s">
        <v>21</v>
      </c>
      <c r="C59" s="311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5" t="s">
        <v>26</v>
      </c>
      <c r="B11" s="316"/>
      <c r="C11" s="316"/>
      <c r="D11" s="316"/>
      <c r="E11" s="316"/>
      <c r="F11" s="317"/>
      <c r="G11" s="90"/>
    </row>
    <row r="12" spans="1:7" ht="16.5" customHeight="1" x14ac:dyDescent="0.3">
      <c r="A12" s="314" t="s">
        <v>27</v>
      </c>
      <c r="B12" s="314"/>
      <c r="C12" s="314"/>
      <c r="D12" s="314"/>
      <c r="E12" s="314"/>
      <c r="F12" s="314"/>
      <c r="G12" s="89"/>
    </row>
    <row r="14" spans="1:7" ht="16.5" customHeight="1" x14ac:dyDescent="0.3">
      <c r="A14" s="319" t="s">
        <v>28</v>
      </c>
      <c r="B14" s="319"/>
      <c r="C14" s="60" t="s">
        <v>122</v>
      </c>
    </row>
    <row r="15" spans="1:7" ht="16.5" customHeight="1" x14ac:dyDescent="0.3">
      <c r="A15" s="319" t="s">
        <v>29</v>
      </c>
      <c r="B15" s="319"/>
      <c r="C15" s="60" t="s">
        <v>131</v>
      </c>
    </row>
    <row r="16" spans="1:7" ht="16.5" customHeight="1" x14ac:dyDescent="0.3">
      <c r="A16" s="319" t="s">
        <v>30</v>
      </c>
      <c r="B16" s="319"/>
      <c r="C16" s="60" t="s">
        <v>123</v>
      </c>
    </row>
    <row r="17" spans="1:5" ht="16.5" customHeight="1" x14ac:dyDescent="0.3">
      <c r="A17" s="319" t="s">
        <v>31</v>
      </c>
      <c r="B17" s="319"/>
      <c r="C17" s="60" t="s">
        <v>130</v>
      </c>
    </row>
    <row r="18" spans="1:5" ht="16.5" customHeight="1" x14ac:dyDescent="0.3">
      <c r="A18" s="319" t="s">
        <v>32</v>
      </c>
      <c r="B18" s="319"/>
      <c r="C18" s="96">
        <v>42312</v>
      </c>
    </row>
    <row r="19" spans="1:5" ht="16.5" customHeight="1" x14ac:dyDescent="0.3">
      <c r="A19" s="319" t="s">
        <v>33</v>
      </c>
      <c r="B19" s="319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14" t="s">
        <v>1</v>
      </c>
      <c r="B21" s="314"/>
      <c r="C21" s="59" t="s">
        <v>34</v>
      </c>
      <c r="D21" s="66"/>
    </row>
    <row r="22" spans="1:5" ht="15.75" customHeight="1" x14ac:dyDescent="0.3">
      <c r="A22" s="318"/>
      <c r="B22" s="318"/>
      <c r="C22" s="57"/>
      <c r="D22" s="318"/>
      <c r="E22" s="318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348.51</v>
      </c>
      <c r="D24" s="86">
        <f t="shared" ref="D24:D43" si="0">(C24-$C$46)/$C$46</f>
        <v>-5.633630017875031E-3</v>
      </c>
      <c r="E24" s="53"/>
    </row>
    <row r="25" spans="1:5" ht="15.75" customHeight="1" x14ac:dyDescent="0.3">
      <c r="C25" s="94">
        <v>346.19</v>
      </c>
      <c r="D25" s="87">
        <f t="shared" si="0"/>
        <v>-1.2253038294132594E-2</v>
      </c>
      <c r="E25" s="53"/>
    </row>
    <row r="26" spans="1:5" ht="15.75" customHeight="1" x14ac:dyDescent="0.3">
      <c r="C26" s="94">
        <v>348.83</v>
      </c>
      <c r="D26" s="87">
        <f t="shared" si="0"/>
        <v>-4.7206081866671083E-3</v>
      </c>
      <c r="E26" s="53"/>
    </row>
    <row r="27" spans="1:5" ht="15.75" customHeight="1" x14ac:dyDescent="0.3">
      <c r="C27" s="94">
        <v>352.06</v>
      </c>
      <c r="D27" s="87">
        <f t="shared" si="0"/>
        <v>4.495205922088112E-3</v>
      </c>
      <c r="E27" s="53"/>
    </row>
    <row r="28" spans="1:5" ht="15.75" customHeight="1" x14ac:dyDescent="0.3">
      <c r="C28" s="94">
        <v>349.01</v>
      </c>
      <c r="D28" s="87">
        <f t="shared" si="0"/>
        <v>-4.207033406612621E-3</v>
      </c>
      <c r="E28" s="53"/>
    </row>
    <row r="29" spans="1:5" ht="15.75" customHeight="1" x14ac:dyDescent="0.3">
      <c r="C29" s="94">
        <v>352.71</v>
      </c>
      <c r="D29" s="87">
        <f t="shared" si="0"/>
        <v>6.3497815167291799E-3</v>
      </c>
      <c r="E29" s="53"/>
    </row>
    <row r="30" spans="1:5" ht="15.75" customHeight="1" x14ac:dyDescent="0.3">
      <c r="C30" s="94">
        <v>352.01</v>
      </c>
      <c r="D30" s="87">
        <f t="shared" si="0"/>
        <v>4.3525462609618386E-3</v>
      </c>
      <c r="E30" s="53"/>
    </row>
    <row r="31" spans="1:5" ht="15.75" customHeight="1" x14ac:dyDescent="0.3">
      <c r="C31" s="94">
        <v>353.84</v>
      </c>
      <c r="D31" s="87">
        <f t="shared" si="0"/>
        <v>9.5738898581822132E-3</v>
      </c>
      <c r="E31" s="53"/>
    </row>
    <row r="32" spans="1:5" ht="15.75" customHeight="1" x14ac:dyDescent="0.3">
      <c r="C32" s="94">
        <v>347.46</v>
      </c>
      <c r="D32" s="87">
        <f t="shared" si="0"/>
        <v>-8.6294829015261254E-3</v>
      </c>
      <c r="E32" s="53"/>
    </row>
    <row r="33" spans="1:7" ht="15.75" customHeight="1" x14ac:dyDescent="0.3">
      <c r="C33" s="94">
        <v>354.89</v>
      </c>
      <c r="D33" s="87">
        <f t="shared" si="0"/>
        <v>1.2569742741833307E-2</v>
      </c>
      <c r="E33" s="53"/>
    </row>
    <row r="34" spans="1:7" ht="15.75" customHeight="1" x14ac:dyDescent="0.3">
      <c r="C34" s="94">
        <v>352.9</v>
      </c>
      <c r="D34" s="87">
        <f t="shared" si="0"/>
        <v>6.8918882290088896E-3</v>
      </c>
      <c r="E34" s="53"/>
    </row>
    <row r="35" spans="1:7" ht="15.75" customHeight="1" x14ac:dyDescent="0.3">
      <c r="C35" s="94">
        <v>351.16</v>
      </c>
      <c r="D35" s="87">
        <f t="shared" si="0"/>
        <v>1.927332021815839E-3</v>
      </c>
      <c r="E35" s="53"/>
    </row>
    <row r="36" spans="1:7" ht="15.75" customHeight="1" x14ac:dyDescent="0.3">
      <c r="C36" s="94">
        <v>351.9</v>
      </c>
      <c r="D36" s="87">
        <f t="shared" si="0"/>
        <v>4.0386950064840695E-3</v>
      </c>
      <c r="E36" s="53"/>
    </row>
    <row r="37" spans="1:7" ht="15.75" customHeight="1" x14ac:dyDescent="0.3">
      <c r="C37" s="94">
        <v>348.19</v>
      </c>
      <c r="D37" s="87">
        <f t="shared" si="0"/>
        <v>-6.5466518490829538E-3</v>
      </c>
      <c r="E37" s="53"/>
    </row>
    <row r="38" spans="1:7" ht="15.75" customHeight="1" x14ac:dyDescent="0.3">
      <c r="C38" s="94">
        <v>345.35</v>
      </c>
      <c r="D38" s="87">
        <f t="shared" si="0"/>
        <v>-1.4649720601053372E-2</v>
      </c>
      <c r="E38" s="53"/>
    </row>
    <row r="39" spans="1:7" ht="15.75" customHeight="1" x14ac:dyDescent="0.3">
      <c r="C39" s="94">
        <v>351.71</v>
      </c>
      <c r="D39" s="87">
        <f t="shared" si="0"/>
        <v>3.4965882942043602E-3</v>
      </c>
      <c r="E39" s="53"/>
    </row>
    <row r="40" spans="1:7" ht="15.75" customHeight="1" x14ac:dyDescent="0.3">
      <c r="C40" s="94">
        <v>350.1</v>
      </c>
      <c r="D40" s="87">
        <f t="shared" si="0"/>
        <v>-1.0970527940604767E-3</v>
      </c>
      <c r="E40" s="53"/>
    </row>
    <row r="41" spans="1:7" ht="15.75" customHeight="1" x14ac:dyDescent="0.3">
      <c r="C41" s="94">
        <v>350.4</v>
      </c>
      <c r="D41" s="87">
        <f t="shared" si="0"/>
        <v>-2.4109482730316046E-4</v>
      </c>
      <c r="E41" s="53"/>
    </row>
    <row r="42" spans="1:7" ht="15.75" customHeight="1" x14ac:dyDescent="0.3">
      <c r="C42" s="94">
        <v>354.23</v>
      </c>
      <c r="D42" s="87">
        <f t="shared" si="0"/>
        <v>1.0686635214967016E-2</v>
      </c>
      <c r="E42" s="53"/>
    </row>
    <row r="43" spans="1:7" ht="16.5" customHeight="1" x14ac:dyDescent="0.3">
      <c r="C43" s="95">
        <v>348.24</v>
      </c>
      <c r="D43" s="88">
        <f t="shared" si="0"/>
        <v>-6.4039921879566804E-3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7009.6899999999987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350.48449999999991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12">
        <f>C46</f>
        <v>350.48449999999991</v>
      </c>
      <c r="C49" s="92">
        <f>-IF(C46&lt;=80,10%,IF(C46&lt;250,7.5%,5%))</f>
        <v>-0.05</v>
      </c>
      <c r="D49" s="80">
        <f>IF(C46&lt;=80,C46*0.9,IF(C46&lt;250,C46*0.925,C46*0.95))</f>
        <v>332.96027499999991</v>
      </c>
    </row>
    <row r="50" spans="1:6" ht="17.25" customHeight="1" x14ac:dyDescent="0.3">
      <c r="B50" s="313"/>
      <c r="C50" s="93">
        <f>IF(C46&lt;=80, 10%, IF(C46&lt;250, 7.5%, 5%))</f>
        <v>0.05</v>
      </c>
      <c r="D50" s="80">
        <f>IF(C46&lt;=80, C46*1.1, IF(C46&lt;250, C46*1.075, C46*1.05))</f>
        <v>368.00872499999991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7" zoomScale="60" zoomScaleNormal="40" zoomScalePageLayoutView="50" workbookViewId="0">
      <selection activeCell="E102" sqref="E10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40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41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7"/>
    </row>
    <row r="16" spans="1:9" ht="19.5" customHeight="1" x14ac:dyDescent="0.3">
      <c r="A16" s="353" t="s">
        <v>26</v>
      </c>
      <c r="B16" s="354"/>
      <c r="C16" s="354"/>
      <c r="D16" s="354"/>
      <c r="E16" s="354"/>
      <c r="F16" s="354"/>
      <c r="G16" s="354"/>
      <c r="H16" s="355"/>
    </row>
    <row r="17" spans="1:14" ht="20.25" customHeight="1" x14ac:dyDescent="0.25">
      <c r="A17" s="356" t="s">
        <v>42</v>
      </c>
      <c r="B17" s="356"/>
      <c r="C17" s="356"/>
      <c r="D17" s="356"/>
      <c r="E17" s="356"/>
      <c r="F17" s="356"/>
      <c r="G17" s="356"/>
      <c r="H17" s="356"/>
    </row>
    <row r="18" spans="1:14" ht="26.25" customHeight="1" x14ac:dyDescent="0.4">
      <c r="A18" s="99" t="s">
        <v>28</v>
      </c>
      <c r="B18" s="352" t="s">
        <v>121</v>
      </c>
      <c r="C18" s="352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NDQD201508212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57" t="s">
        <v>128</v>
      </c>
      <c r="C20" s="357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57" t="str">
        <f>Uniformity!C17</f>
        <v>Each bilayered tablet contains Artesunate 50mg and Amodiaquine 135mg</v>
      </c>
      <c r="C21" s="357"/>
      <c r="D21" s="357"/>
      <c r="E21" s="357"/>
      <c r="F21" s="357"/>
      <c r="G21" s="357"/>
      <c r="H21" s="357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52" t="s">
        <v>125</v>
      </c>
      <c r="C26" s="352"/>
    </row>
    <row r="27" spans="1:14" ht="26.25" customHeight="1" x14ac:dyDescent="0.4">
      <c r="A27" s="108" t="s">
        <v>43</v>
      </c>
      <c r="B27" s="349" t="s">
        <v>126</v>
      </c>
      <c r="C27" s="349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28" t="s">
        <v>45</v>
      </c>
      <c r="D29" s="329"/>
      <c r="E29" s="329"/>
      <c r="F29" s="329"/>
      <c r="G29" s="330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31" t="s">
        <v>48</v>
      </c>
      <c r="D31" s="332"/>
      <c r="E31" s="332"/>
      <c r="F31" s="332"/>
      <c r="G31" s="332"/>
      <c r="H31" s="333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31" t="s">
        <v>50</v>
      </c>
      <c r="D32" s="332"/>
      <c r="E32" s="332"/>
      <c r="F32" s="332"/>
      <c r="G32" s="332"/>
      <c r="H32" s="333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34" t="s">
        <v>54</v>
      </c>
      <c r="E36" s="351"/>
      <c r="F36" s="334" t="s">
        <v>55</v>
      </c>
      <c r="G36" s="335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28263753</v>
      </c>
      <c r="E38" s="132">
        <f>IF(ISBLANK(D38),"-",$D$48/$D$45*D38)</f>
        <v>36119627.064291582</v>
      </c>
      <c r="F38" s="131">
        <v>31331416</v>
      </c>
      <c r="G38" s="133">
        <f>IF(ISBLANK(F38),"-",$D$48/$F$45*F38)</f>
        <v>36011534.171574496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28348561</v>
      </c>
      <c r="E39" s="137">
        <f>IF(ISBLANK(D39),"-",$D$48/$D$45*D39)</f>
        <v>36228007.33962404</v>
      </c>
      <c r="F39" s="136">
        <v>31286024</v>
      </c>
      <c r="G39" s="138">
        <f>IF(ISBLANK(F39),"-",$D$48/$F$45*F39)</f>
        <v>35959361.75909508</v>
      </c>
      <c r="I39" s="336">
        <f>ABS((F43/D43*D42)-F42)/D42</f>
        <v>6.0930626725696291E-3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28310763</v>
      </c>
      <c r="E40" s="137">
        <f>IF(ISBLANK(D40),"-",$D$48/$D$45*D40)</f>
        <v>36179703.433777697</v>
      </c>
      <c r="F40" s="136">
        <v>31288065</v>
      </c>
      <c r="G40" s="138">
        <f>IF(ISBLANK(F40),"-",$D$48/$F$45*F40)</f>
        <v>35961707.632682286</v>
      </c>
      <c r="I40" s="336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28307692.333333332</v>
      </c>
      <c r="E42" s="147">
        <f>AVERAGE(E38:E41)</f>
        <v>36175779.279231101</v>
      </c>
      <c r="F42" s="146">
        <f>AVERAGE(F38:F41)</f>
        <v>31301835</v>
      </c>
      <c r="G42" s="148">
        <f>AVERAGE(G38:G41)</f>
        <v>35977534.521117292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11.8</v>
      </c>
      <c r="E43" s="139"/>
      <c r="F43" s="151">
        <v>13.12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9.7910912101494922</v>
      </c>
      <c r="E44" s="154"/>
      <c r="F44" s="153">
        <f>F43*$B$34</f>
        <v>10.886365820098415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9.7813001189393436</v>
      </c>
      <c r="E45" s="157"/>
      <c r="F45" s="156">
        <f>F44*$B$30/100</f>
        <v>10.875479454278318</v>
      </c>
      <c r="H45" s="149"/>
    </row>
    <row r="46" spans="1:14" ht="19.5" customHeight="1" x14ac:dyDescent="0.3">
      <c r="A46" s="322" t="s">
        <v>73</v>
      </c>
      <c r="B46" s="323"/>
      <c r="C46" s="152" t="s">
        <v>74</v>
      </c>
      <c r="D46" s="158">
        <f>D45/$B$45</f>
        <v>0.15650080190302951</v>
      </c>
      <c r="E46" s="159"/>
      <c r="F46" s="160">
        <f>F45/$B$45</f>
        <v>0.1740076712684531</v>
      </c>
      <c r="H46" s="149"/>
    </row>
    <row r="47" spans="1:14" ht="27" customHeight="1" x14ac:dyDescent="0.4">
      <c r="A47" s="324"/>
      <c r="B47" s="325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36076656.900174193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3.1987114382929713E-3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50mg and Amodiaquine 135mg</v>
      </c>
    </row>
    <row r="56" spans="1:12" ht="26.25" customHeight="1" x14ac:dyDescent="0.4">
      <c r="A56" s="176" t="s">
        <v>82</v>
      </c>
      <c r="B56" s="177">
        <v>135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350.48449999999991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100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3</v>
      </c>
      <c r="C60" s="339" t="s">
        <v>89</v>
      </c>
      <c r="D60" s="342">
        <v>352.69</v>
      </c>
      <c r="E60" s="181">
        <v>1</v>
      </c>
      <c r="F60" s="182">
        <v>39632859</v>
      </c>
      <c r="G60" s="271">
        <f>IF(ISBLANK(F60),"-",(F60/$D$50*$D$47*$B$68)*($B$57/$D$60))</f>
        <v>145.56049468850509</v>
      </c>
      <c r="H60" s="183">
        <f>IF(ISBLANK(F60),"-",G60/$B$56)</f>
        <v>1.0782258865815191</v>
      </c>
      <c r="L60" s="111"/>
    </row>
    <row r="61" spans="1:12" s="14" customFormat="1" ht="26.25" customHeight="1" x14ac:dyDescent="0.4">
      <c r="A61" s="123" t="s">
        <v>90</v>
      </c>
      <c r="B61" s="124">
        <v>20</v>
      </c>
      <c r="C61" s="340"/>
      <c r="D61" s="343"/>
      <c r="E61" s="184">
        <v>2</v>
      </c>
      <c r="F61" s="136">
        <v>39694595</v>
      </c>
      <c r="G61" s="272">
        <f>IF(ISBLANK(F61),"-",(F61/$D$50*$D$47*$B$68)*($B$57/$D$60))</f>
        <v>145.78723388741298</v>
      </c>
      <c r="H61" s="185">
        <f t="shared" ref="H61:H71" si="0">IF(ISBLANK(F61),"-",G61/$B$56)</f>
        <v>1.0799054362030591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40"/>
      <c r="D62" s="343"/>
      <c r="E62" s="184">
        <v>3</v>
      </c>
      <c r="F62" s="186">
        <v>39799432</v>
      </c>
      <c r="G62" s="272">
        <f>IF(ISBLANK(F62),"-",(F62/$D$50*$D$47*$B$68)*($B$57/$D$60))</f>
        <v>146.17227110064204</v>
      </c>
      <c r="H62" s="185">
        <f t="shared" si="0"/>
        <v>1.0827575637084594</v>
      </c>
      <c r="L62" s="111"/>
    </row>
    <row r="63" spans="1:12" ht="27" customHeight="1" x14ac:dyDescent="0.4">
      <c r="A63" s="123" t="s">
        <v>92</v>
      </c>
      <c r="B63" s="124">
        <v>1</v>
      </c>
      <c r="C63" s="350"/>
      <c r="D63" s="34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39" t="s">
        <v>94</v>
      </c>
      <c r="D64" s="342">
        <v>351.95</v>
      </c>
      <c r="E64" s="181">
        <v>1</v>
      </c>
      <c r="F64" s="182">
        <v>39340082</v>
      </c>
      <c r="G64" s="273">
        <f>IF(ISBLANK(F64),"-",(F64/$D$50*$D$47*$B$68)*($B$57/$D$64))</f>
        <v>144.78899646068859</v>
      </c>
      <c r="H64" s="189">
        <f>IF(ISBLANK(F64),"-",G64/$B$56)</f>
        <v>1.0725110848939896</v>
      </c>
    </row>
    <row r="65" spans="1:8" ht="26.25" customHeight="1" x14ac:dyDescent="0.4">
      <c r="A65" s="123" t="s">
        <v>95</v>
      </c>
      <c r="B65" s="124">
        <v>1</v>
      </c>
      <c r="C65" s="340"/>
      <c r="D65" s="343"/>
      <c r="E65" s="184">
        <v>2</v>
      </c>
      <c r="F65" s="136">
        <v>39172505</v>
      </c>
      <c r="G65" s="274">
        <f>IF(ISBLANK(F65),"-",(F65/$D$50*$D$47*$B$68)*($B$57/$D$64))</f>
        <v>144.17223857848862</v>
      </c>
      <c r="H65" s="190">
        <f t="shared" si="0"/>
        <v>1.0679425079888045</v>
      </c>
    </row>
    <row r="66" spans="1:8" ht="26.25" customHeight="1" x14ac:dyDescent="0.4">
      <c r="A66" s="123" t="s">
        <v>96</v>
      </c>
      <c r="B66" s="124">
        <v>1</v>
      </c>
      <c r="C66" s="340"/>
      <c r="D66" s="343"/>
      <c r="E66" s="184">
        <v>3</v>
      </c>
      <c r="F66" s="136">
        <v>39422261</v>
      </c>
      <c r="G66" s="274">
        <f>IF(ISBLANK(F66),"-",(F66/$D$50*$D$47*$B$68)*($B$57/$D$64))</f>
        <v>145.09145172603712</v>
      </c>
      <c r="H66" s="190">
        <f t="shared" si="0"/>
        <v>1.0747514942669416</v>
      </c>
    </row>
    <row r="67" spans="1:8" ht="27" customHeight="1" x14ac:dyDescent="0.4">
      <c r="A67" s="123" t="s">
        <v>97</v>
      </c>
      <c r="B67" s="124">
        <v>1</v>
      </c>
      <c r="C67" s="350"/>
      <c r="D67" s="34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666.66666666666674</v>
      </c>
      <c r="C68" s="339" t="s">
        <v>99</v>
      </c>
      <c r="D68" s="342">
        <v>350.77</v>
      </c>
      <c r="E68" s="181">
        <v>1</v>
      </c>
      <c r="F68" s="182">
        <v>38834386</v>
      </c>
      <c r="G68" s="273">
        <f>IF(ISBLANK(F68),"-",(F68/$D$50*$D$47*$B$68)*($B$57/$D$68))</f>
        <v>143.40862340997106</v>
      </c>
      <c r="H68" s="185">
        <f>IF(ISBLANK(F68),"-",G68/$B$56)</f>
        <v>1.0622860993331189</v>
      </c>
    </row>
    <row r="69" spans="1:8" ht="27" customHeight="1" x14ac:dyDescent="0.4">
      <c r="A69" s="171" t="s">
        <v>100</v>
      </c>
      <c r="B69" s="193">
        <f>(D47*B68)/B56*B57</f>
        <v>346.15753086419744</v>
      </c>
      <c r="C69" s="340"/>
      <c r="D69" s="343"/>
      <c r="E69" s="184">
        <v>2</v>
      </c>
      <c r="F69" s="136">
        <v>39128750</v>
      </c>
      <c r="G69" s="274">
        <f>IF(ISBLANK(F69),"-",(F69/$D$50*$D$47*$B$68)*($B$57/$D$68))</f>
        <v>144.49565839029628</v>
      </c>
      <c r="H69" s="185">
        <f t="shared" si="0"/>
        <v>1.0703382102984911</v>
      </c>
    </row>
    <row r="70" spans="1:8" ht="26.25" customHeight="1" x14ac:dyDescent="0.4">
      <c r="A70" s="345" t="s">
        <v>73</v>
      </c>
      <c r="B70" s="346"/>
      <c r="C70" s="340"/>
      <c r="D70" s="343"/>
      <c r="E70" s="184">
        <v>3</v>
      </c>
      <c r="F70" s="136">
        <v>38779881</v>
      </c>
      <c r="G70" s="274">
        <f>IF(ISBLANK(F70),"-",(F70/$D$50*$D$47*$B$68)*($B$57/$D$68))</f>
        <v>143.20734593853223</v>
      </c>
      <c r="H70" s="185">
        <f t="shared" si="0"/>
        <v>1.0607951551002388</v>
      </c>
    </row>
    <row r="71" spans="1:8" ht="27" customHeight="1" x14ac:dyDescent="0.4">
      <c r="A71" s="347"/>
      <c r="B71" s="348"/>
      <c r="C71" s="341"/>
      <c r="D71" s="34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1.0721681598194024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7.1008044804997568E-3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26" t="str">
        <f>B20</f>
        <v>Amodiaquine</v>
      </c>
      <c r="D76" s="326"/>
      <c r="E76" s="204" t="s">
        <v>103</v>
      </c>
      <c r="F76" s="204"/>
      <c r="G76" s="205">
        <f>H72</f>
        <v>1.0721681598194024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49" t="str">
        <f>B26</f>
        <v>Amodiaquine HCl</v>
      </c>
      <c r="C79" s="349"/>
    </row>
    <row r="80" spans="1:8" ht="26.25" customHeight="1" x14ac:dyDescent="0.4">
      <c r="A80" s="108" t="s">
        <v>43</v>
      </c>
      <c r="B80" s="349" t="str">
        <f>B27</f>
        <v>A7 1</v>
      </c>
      <c r="C80" s="349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28" t="s">
        <v>45</v>
      </c>
      <c r="D82" s="329"/>
      <c r="E82" s="329"/>
      <c r="F82" s="329"/>
      <c r="G82" s="330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31" t="s">
        <v>106</v>
      </c>
      <c r="D84" s="332"/>
      <c r="E84" s="332"/>
      <c r="F84" s="332"/>
      <c r="G84" s="332"/>
      <c r="H84" s="333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31" t="s">
        <v>107</v>
      </c>
      <c r="D85" s="332"/>
      <c r="E85" s="332"/>
      <c r="F85" s="332"/>
      <c r="G85" s="332"/>
      <c r="H85" s="333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34" t="s">
        <v>55</v>
      </c>
      <c r="G89" s="335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17041876</v>
      </c>
      <c r="E91" s="132">
        <f>IF(ISBLANK(D91),"-",$D$101/$D$98*D91)</f>
        <v>27223304.597760834</v>
      </c>
      <c r="F91" s="281">
        <v>18825247</v>
      </c>
      <c r="G91" s="133">
        <f>IF(ISBLANK(F91),"-",$D$101/$F$98*F91)</f>
        <v>27046576.255475905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16927886</v>
      </c>
      <c r="E92" s="137">
        <f>IF(ISBLANK(D92),"-",$D$101/$D$98*D92)</f>
        <v>27041212.879038155</v>
      </c>
      <c r="F92" s="282">
        <v>18918178</v>
      </c>
      <c r="G92" s="138">
        <f>IF(ISBLANK(F92),"-",$D$101/$F$98*F92)</f>
        <v>27180091.920794804</v>
      </c>
      <c r="I92" s="336">
        <f>ABS((F96/D96*D95)-F95)/D95</f>
        <v>1.8341259748005396E-3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17078749</v>
      </c>
      <c r="E93" s="137">
        <f>IF(ISBLANK(D93),"-",$D$101/$D$98*D93)</f>
        <v>27282206.851857346</v>
      </c>
      <c r="F93" s="282">
        <v>18921968</v>
      </c>
      <c r="G93" s="138">
        <f>IF(ISBLANK(F93),"-",$D$101/$F$98*F93)</f>
        <v>27185537.083028704</v>
      </c>
      <c r="I93" s="336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17016170.333333332</v>
      </c>
      <c r="E95" s="147">
        <f>AVERAGE(E91:E94)</f>
        <v>27182241.442885444</v>
      </c>
      <c r="F95" s="216">
        <f>AVERAGE(F91:F94)</f>
        <v>18888464.333333332</v>
      </c>
      <c r="G95" s="217">
        <f>AVERAGE(G91:G94)</f>
        <v>27137401.753099803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11.8</v>
      </c>
      <c r="E96" s="139"/>
      <c r="F96" s="151">
        <v>13.12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9.7910912101494922</v>
      </c>
      <c r="E97" s="154"/>
      <c r="F97" s="153">
        <f>F96*$B$87</f>
        <v>10.886365820098415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9.7813001189393436</v>
      </c>
      <c r="E98" s="157"/>
      <c r="F98" s="156">
        <f>F97*$B$83/100</f>
        <v>10.875479454278318</v>
      </c>
    </row>
    <row r="99" spans="1:10" ht="19.5" customHeight="1" x14ac:dyDescent="0.3">
      <c r="A99" s="322" t="s">
        <v>73</v>
      </c>
      <c r="B99" s="337"/>
      <c r="C99" s="220" t="s">
        <v>111</v>
      </c>
      <c r="D99" s="224">
        <f>D98/$B$98</f>
        <v>4.6950240570908845E-2</v>
      </c>
      <c r="E99" s="157"/>
      <c r="F99" s="160">
        <f>F98/$B$98</f>
        <v>5.2202301380535929E-2</v>
      </c>
      <c r="G99" s="225"/>
      <c r="H99" s="149"/>
    </row>
    <row r="100" spans="1:10" ht="19.5" customHeight="1" x14ac:dyDescent="0.3">
      <c r="A100" s="324"/>
      <c r="B100" s="338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27159821.597992625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3.5687161058677993E-3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10</v>
      </c>
      <c r="C108" s="241">
        <v>1</v>
      </c>
      <c r="D108" s="242">
        <v>23921282</v>
      </c>
      <c r="E108" s="277">
        <f t="shared" ref="E108:E113" si="1">IF(ISBLANK(D108),"-",D108/$D$103*$D$100*$B$116)</f>
        <v>118.90258771945255</v>
      </c>
      <c r="F108" s="243">
        <f>IF(ISBLANK(D108), "-", E108/$B$56)</f>
        <v>0.88075990903298185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24712239</v>
      </c>
      <c r="E109" s="278">
        <f t="shared" si="1"/>
        <v>122.8341008413168</v>
      </c>
      <c r="F109" s="244">
        <f t="shared" ref="F109:F113" si="2">IF(ISBLANK(D109), "-", E109/$B$56)</f>
        <v>0.90988222845419853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23994944</v>
      </c>
      <c r="E110" s="278">
        <f t="shared" si="1"/>
        <v>119.26873040430489</v>
      </c>
      <c r="F110" s="244">
        <f>IF(ISBLANK(D110), "-", E110/$B$56)</f>
        <v>0.88347207706892505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24126845</v>
      </c>
      <c r="E111" s="278">
        <f t="shared" si="1"/>
        <v>119.92435455617033</v>
      </c>
      <c r="F111" s="244">
        <f t="shared" si="2"/>
        <v>0.8883285522679284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24049922</v>
      </c>
      <c r="E112" s="278">
        <f t="shared" si="1"/>
        <v>119.54200281786702</v>
      </c>
      <c r="F112" s="244">
        <f>IF(ISBLANK(D112), "-", E112/$B$56)</f>
        <v>0.88549631716938526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24559481</v>
      </c>
      <c r="E113" s="279">
        <f t="shared" si="1"/>
        <v>122.07480535310475</v>
      </c>
      <c r="F113" s="247">
        <f t="shared" si="2"/>
        <v>0.90425781743040556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0.89203281690397074</v>
      </c>
    </row>
    <row r="116" spans="1:10" ht="27" customHeight="1" x14ac:dyDescent="0.4">
      <c r="A116" s="123" t="s">
        <v>98</v>
      </c>
      <c r="B116" s="155">
        <f>(B115/B114)*(B113/B112)*(B111/B110)*(B109/B108)*B107</f>
        <v>1800</v>
      </c>
      <c r="C116" s="252"/>
      <c r="D116" s="253"/>
      <c r="E116" s="214" t="s">
        <v>79</v>
      </c>
      <c r="F116" s="254">
        <f>STDEV(F108:F113)/F115</f>
        <v>1.3497785048440783E-2</v>
      </c>
      <c r="I116" s="97"/>
    </row>
    <row r="117" spans="1:10" ht="27" customHeight="1" x14ac:dyDescent="0.4">
      <c r="A117" s="322" t="s">
        <v>73</v>
      </c>
      <c r="B117" s="323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4"/>
      <c r="B118" s="325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26" t="str">
        <f>B20</f>
        <v>Amodiaquine</v>
      </c>
      <c r="D120" s="326"/>
      <c r="E120" s="204" t="s">
        <v>119</v>
      </c>
      <c r="F120" s="204"/>
      <c r="G120" s="205">
        <f>F115</f>
        <v>0.89203281690397074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27" t="s">
        <v>21</v>
      </c>
      <c r="C122" s="327"/>
      <c r="E122" s="210" t="s">
        <v>22</v>
      </c>
      <c r="F122" s="261"/>
      <c r="G122" s="327" t="s">
        <v>23</v>
      </c>
      <c r="H122" s="327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4" zoomScale="60" zoomScaleNormal="40" zoomScalePageLayoutView="50" workbookViewId="0">
      <selection activeCell="E99" sqref="E99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20" t="s">
        <v>40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41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thickBot="1" x14ac:dyDescent="0.35">
      <c r="A15" s="204"/>
    </row>
    <row r="16" spans="1:9" ht="19.5" customHeight="1" thickBot="1" x14ac:dyDescent="0.35">
      <c r="A16" s="353" t="s">
        <v>26</v>
      </c>
      <c r="B16" s="354"/>
      <c r="C16" s="354"/>
      <c r="D16" s="354"/>
      <c r="E16" s="354"/>
      <c r="F16" s="354"/>
      <c r="G16" s="354"/>
      <c r="H16" s="355"/>
    </row>
    <row r="17" spans="1:14" ht="20.25" customHeight="1" x14ac:dyDescent="0.25">
      <c r="A17" s="356" t="s">
        <v>42</v>
      </c>
      <c r="B17" s="356"/>
      <c r="C17" s="356"/>
      <c r="D17" s="356"/>
      <c r="E17" s="356"/>
      <c r="F17" s="356"/>
      <c r="G17" s="356"/>
      <c r="H17" s="356"/>
    </row>
    <row r="18" spans="1:14" ht="26.25" customHeight="1" x14ac:dyDescent="0.4">
      <c r="A18" s="99" t="s">
        <v>28</v>
      </c>
      <c r="B18" s="352" t="s">
        <v>121</v>
      </c>
      <c r="C18" s="352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NDQD201508212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57" t="s">
        <v>124</v>
      </c>
      <c r="C20" s="357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57" t="str">
        <f>Uniformity!C17</f>
        <v>Each bilayered tablet contains Artesunate 50mg and Amodiaquine 135mg</v>
      </c>
      <c r="C21" s="357"/>
      <c r="D21" s="357"/>
      <c r="E21" s="357"/>
      <c r="F21" s="357"/>
      <c r="G21" s="357"/>
      <c r="H21" s="357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52" t="s">
        <v>124</v>
      </c>
      <c r="C26" s="352"/>
    </row>
    <row r="27" spans="1:14" ht="26.25" customHeight="1" x14ac:dyDescent="0.4">
      <c r="A27" s="214" t="s">
        <v>43</v>
      </c>
      <c r="B27" s="349" t="s">
        <v>127</v>
      </c>
      <c r="C27" s="349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28" t="s">
        <v>45</v>
      </c>
      <c r="D29" s="329"/>
      <c r="E29" s="329"/>
      <c r="F29" s="329"/>
      <c r="G29" s="330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31" t="s">
        <v>48</v>
      </c>
      <c r="D31" s="332"/>
      <c r="E31" s="332"/>
      <c r="F31" s="332"/>
      <c r="G31" s="332"/>
      <c r="H31" s="333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31" t="s">
        <v>50</v>
      </c>
      <c r="D32" s="332"/>
      <c r="E32" s="332"/>
      <c r="F32" s="332"/>
      <c r="G32" s="332"/>
      <c r="H32" s="333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34" t="s">
        <v>54</v>
      </c>
      <c r="E36" s="351"/>
      <c r="F36" s="334" t="s">
        <v>55</v>
      </c>
      <c r="G36" s="335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3182882</v>
      </c>
      <c r="E38" s="132">
        <f>IF(ISBLANK(D38),"-",$D$48/$D$45*D38)</f>
        <v>2929907.8927262323</v>
      </c>
      <c r="F38" s="131">
        <v>3653857</v>
      </c>
      <c r="G38" s="133">
        <f>IF(ISBLANK(F38),"-",$D$48/$F$45*F38)</f>
        <v>2934301.6747214552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3186011</v>
      </c>
      <c r="E39" s="137">
        <f>IF(ISBLANK(D39),"-",$D$48/$D$45*D39)</f>
        <v>2932788.2011373956</v>
      </c>
      <c r="F39" s="136">
        <v>3670313</v>
      </c>
      <c r="G39" s="138">
        <f>IF(ISBLANK(F39),"-",$D$48/$F$45*F39)</f>
        <v>2947516.9889385183</v>
      </c>
      <c r="I39" s="336">
        <f>ABS((F43/D43*D42)-F42)/D42</f>
        <v>2.9479397627487371E-3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3193921</v>
      </c>
      <c r="E40" s="137">
        <f>IF(ISBLANK(D40),"-",$D$48/$D$45*D40)</f>
        <v>2940069.5177025287</v>
      </c>
      <c r="F40" s="136">
        <v>3665418</v>
      </c>
      <c r="G40" s="138">
        <f>IF(ISBLANK(F40),"-",$D$48/$F$45*F40)</f>
        <v>2943585.9629849135</v>
      </c>
      <c r="I40" s="336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3187604.6666666665</v>
      </c>
      <c r="E42" s="147">
        <f>AVERAGE(E38:E41)</f>
        <v>2934255.2038553855</v>
      </c>
      <c r="F42" s="146">
        <f>AVERAGE(F38:F41)</f>
        <v>3663196</v>
      </c>
      <c r="G42" s="148">
        <f>AVERAGE(G38:G41)</f>
        <v>2941801.5422149622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21.88</v>
      </c>
      <c r="E43" s="204"/>
      <c r="F43" s="151">
        <v>25.08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21.88</v>
      </c>
      <c r="E44" s="222"/>
      <c r="F44" s="153">
        <f>F43*$B$34</f>
        <v>25.08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21.726839999999996</v>
      </c>
      <c r="E45" s="200"/>
      <c r="F45" s="156">
        <f>F44*$B$30/100</f>
        <v>24.904440000000001</v>
      </c>
      <c r="H45" s="149"/>
    </row>
    <row r="46" spans="1:14" ht="19.5" customHeight="1" thickBot="1" x14ac:dyDescent="0.35">
      <c r="A46" s="322" t="s">
        <v>73</v>
      </c>
      <c r="B46" s="323"/>
      <c r="C46" s="152" t="s">
        <v>74</v>
      </c>
      <c r="D46" s="158">
        <f>D45/$B$45</f>
        <v>4.3453679999999988</v>
      </c>
      <c r="E46" s="159"/>
      <c r="F46" s="160">
        <f>F45/$B$45</f>
        <v>4.9808880000000002</v>
      </c>
      <c r="H46" s="149"/>
    </row>
    <row r="47" spans="1:14" ht="27" customHeight="1" thickBot="1" x14ac:dyDescent="0.45">
      <c r="A47" s="324"/>
      <c r="B47" s="325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2938028.3730351739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2.320360094796769E-3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50mg and Amodiaquine 135mg</v>
      </c>
    </row>
    <row r="56" spans="1:12" ht="26.25" customHeight="1" x14ac:dyDescent="0.4">
      <c r="A56" s="176" t="s">
        <v>82</v>
      </c>
      <c r="B56" s="177">
        <v>50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350.48449999999991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10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39" t="s">
        <v>89</v>
      </c>
      <c r="D60" s="342">
        <v>352.46</v>
      </c>
      <c r="E60" s="181">
        <v>1</v>
      </c>
      <c r="F60" s="182">
        <v>3322554</v>
      </c>
      <c r="G60" s="271">
        <f>IF(ISBLANK(F60),"-",(F60/$D$50*$D$47*$B$68)*($B$57/$D$60))</f>
        <v>44.981613876812673</v>
      </c>
      <c r="H60" s="183">
        <f>IF(ISBLANK(F60),"-",G60/$B$56)</f>
        <v>0.89963227753625352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40"/>
      <c r="D61" s="343"/>
      <c r="E61" s="184">
        <v>2</v>
      </c>
      <c r="F61" s="136">
        <v>3324564</v>
      </c>
      <c r="G61" s="272">
        <f>IF(ISBLANK(F61),"-",(F61/$D$50*$D$47*$B$68)*($B$57/$D$60))</f>
        <v>45.008825787858335</v>
      </c>
      <c r="H61" s="185">
        <f t="shared" ref="H61:H71" si="0">IF(ISBLANK(F61),"-",G61/$B$56)</f>
        <v>0.90017651575716673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40"/>
      <c r="D62" s="343"/>
      <c r="E62" s="184">
        <v>3</v>
      </c>
      <c r="F62" s="186">
        <v>3305888</v>
      </c>
      <c r="G62" s="272">
        <f>IF(ISBLANK(F62),"-",(F62/$D$50*$D$47*$B$68)*($B$57/$D$60))</f>
        <v>44.755985165625148</v>
      </c>
      <c r="H62" s="185">
        <f t="shared" si="0"/>
        <v>0.89511970331250301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50"/>
      <c r="D63" s="34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39" t="s">
        <v>94</v>
      </c>
      <c r="D64" s="342">
        <v>350.42</v>
      </c>
      <c r="E64" s="181">
        <v>1</v>
      </c>
      <c r="F64" s="182">
        <v>3337245</v>
      </c>
      <c r="G64" s="273">
        <f>IF(ISBLANK(F64),"-",(F64/$D$50*$D$47*$B$68)*($B$57/$D$64))</f>
        <v>45.443526687347806</v>
      </c>
      <c r="H64" s="189">
        <f>IF(ISBLANK(F64),"-",G64/$B$56)</f>
        <v>0.90887053374695614</v>
      </c>
    </row>
    <row r="65" spans="1:8" ht="26.25" customHeight="1" x14ac:dyDescent="0.4">
      <c r="A65" s="123" t="s">
        <v>95</v>
      </c>
      <c r="B65" s="124">
        <v>1</v>
      </c>
      <c r="C65" s="340"/>
      <c r="D65" s="343"/>
      <c r="E65" s="184">
        <v>2</v>
      </c>
      <c r="F65" s="136">
        <v>3333724</v>
      </c>
      <c r="G65" s="274">
        <f>IF(ISBLANK(F65),"-",(F65/$D$50*$D$47*$B$68)*($B$57/$D$64))</f>
        <v>45.39558095442554</v>
      </c>
      <c r="H65" s="190">
        <f t="shared" si="0"/>
        <v>0.90791161908851081</v>
      </c>
    </row>
    <row r="66" spans="1:8" ht="26.25" customHeight="1" x14ac:dyDescent="0.4">
      <c r="A66" s="123" t="s">
        <v>96</v>
      </c>
      <c r="B66" s="124">
        <v>1</v>
      </c>
      <c r="C66" s="340"/>
      <c r="D66" s="343"/>
      <c r="E66" s="184">
        <v>3</v>
      </c>
      <c r="F66" s="136">
        <v>3340403</v>
      </c>
      <c r="G66" s="274">
        <f>IF(ISBLANK(F66),"-",(F66/$D$50*$D$47*$B$68)*($B$57/$D$64))</f>
        <v>45.486529420823665</v>
      </c>
      <c r="H66" s="190">
        <f t="shared" si="0"/>
        <v>0.90973058841647325</v>
      </c>
    </row>
    <row r="67" spans="1:8" ht="27" customHeight="1" thickBot="1" x14ac:dyDescent="0.45">
      <c r="A67" s="123" t="s">
        <v>97</v>
      </c>
      <c r="B67" s="124">
        <v>1</v>
      </c>
      <c r="C67" s="350"/>
      <c r="D67" s="34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10</v>
      </c>
      <c r="C68" s="339" t="s">
        <v>99</v>
      </c>
      <c r="D68" s="342">
        <v>348.35</v>
      </c>
      <c r="E68" s="181">
        <v>1</v>
      </c>
      <c r="F68" s="182"/>
      <c r="G68" s="273" t="str">
        <f>IF(ISBLANK(F68),"-",(F68/$D$50*$D$47*$B$68)*($B$57/$D$68))</f>
        <v>-</v>
      </c>
      <c r="H68" s="185" t="str">
        <f>IF(ISBLANK(F68),"-",G68/$B$56)</f>
        <v>-</v>
      </c>
    </row>
    <row r="69" spans="1:8" ht="27" customHeight="1" thickBot="1" x14ac:dyDescent="0.45">
      <c r="A69" s="171" t="s">
        <v>100</v>
      </c>
      <c r="B69" s="193">
        <f>(D47*B68)/B56*B57</f>
        <v>280.38759999999996</v>
      </c>
      <c r="C69" s="340"/>
      <c r="D69" s="343"/>
      <c r="E69" s="184">
        <v>2</v>
      </c>
      <c r="F69" s="136"/>
      <c r="G69" s="274" t="str">
        <f>IF(ISBLANK(F69),"-",(F69/$D$50*$D$47*$B$68)*($B$57/$D$68))</f>
        <v>-</v>
      </c>
      <c r="H69" s="185" t="str">
        <f t="shared" si="0"/>
        <v>-</v>
      </c>
    </row>
    <row r="70" spans="1:8" ht="26.25" customHeight="1" x14ac:dyDescent="0.4">
      <c r="A70" s="345" t="s">
        <v>73</v>
      </c>
      <c r="B70" s="346"/>
      <c r="C70" s="340"/>
      <c r="D70" s="343"/>
      <c r="E70" s="184">
        <v>3</v>
      </c>
      <c r="F70" s="136"/>
      <c r="G70" s="274" t="str">
        <f>IF(ISBLANK(F70),"-",(F70/$D$50*$D$47*$B$68)*($B$57/$D$68))</f>
        <v>-</v>
      </c>
      <c r="H70" s="185" t="str">
        <f t="shared" si="0"/>
        <v>-</v>
      </c>
    </row>
    <row r="71" spans="1:8" ht="27" customHeight="1" thickBot="1" x14ac:dyDescent="0.45">
      <c r="A71" s="347"/>
      <c r="B71" s="348"/>
      <c r="C71" s="341"/>
      <c r="D71" s="34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0.90357353964297726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6.70138709296734E-3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6</v>
      </c>
    </row>
    <row r="76" spans="1:8" ht="26.25" customHeight="1" x14ac:dyDescent="0.4">
      <c r="A76" s="262" t="s">
        <v>101</v>
      </c>
      <c r="B76" s="214" t="s">
        <v>102</v>
      </c>
      <c r="C76" s="326" t="str">
        <f>B20</f>
        <v>Artesunate</v>
      </c>
      <c r="D76" s="326"/>
      <c r="E76" s="204" t="s">
        <v>103</v>
      </c>
      <c r="F76" s="204"/>
      <c r="G76" s="205">
        <f>H72</f>
        <v>0.90357353964297726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49" t="str">
        <f>B26</f>
        <v>Artesunate</v>
      </c>
      <c r="C79" s="349"/>
    </row>
    <row r="80" spans="1:8" ht="26.25" customHeight="1" x14ac:dyDescent="0.4">
      <c r="A80" s="214" t="s">
        <v>43</v>
      </c>
      <c r="B80" s="349" t="str">
        <f>B27</f>
        <v>A15 2</v>
      </c>
      <c r="C80" s="349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28" t="s">
        <v>45</v>
      </c>
      <c r="D82" s="329"/>
      <c r="E82" s="329"/>
      <c r="F82" s="329"/>
      <c r="G82" s="330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31" t="s">
        <v>106</v>
      </c>
      <c r="D84" s="332"/>
      <c r="E84" s="332"/>
      <c r="F84" s="332"/>
      <c r="G84" s="332"/>
      <c r="H84" s="333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31" t="s">
        <v>107</v>
      </c>
      <c r="D85" s="332"/>
      <c r="E85" s="332"/>
      <c r="F85" s="332"/>
      <c r="G85" s="332"/>
      <c r="H85" s="333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34" t="s">
        <v>55</v>
      </c>
      <c r="G89" s="335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971735</v>
      </c>
      <c r="E91" s="132">
        <f>IF(ISBLANK(D91),"-",$D$101/$D$98*D91)</f>
        <v>1118127.3945037569</v>
      </c>
      <c r="F91" s="281">
        <v>1126249</v>
      </c>
      <c r="G91" s="133">
        <f>IF(ISBLANK(F91),"-",$D$101/$F$98*F91)</f>
        <v>1130570.4926511096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961876</v>
      </c>
      <c r="E92" s="137">
        <f>IF(ISBLANK(D92),"-",$D$101/$D$98*D92)</f>
        <v>1106783.130910892</v>
      </c>
      <c r="F92" s="282">
        <v>1112255</v>
      </c>
      <c r="G92" s="138">
        <f>IF(ISBLANK(F92),"-",$D$101/$F$98*F92)</f>
        <v>1116522.7967382523</v>
      </c>
      <c r="I92" s="336">
        <f>ABS((F96/D96*D95)-F95)/D95</f>
        <v>8.6013580444531841E-3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970867</v>
      </c>
      <c r="E93" s="137">
        <f>IF(ISBLANK(D93),"-",$D$101/$D$98*D93)</f>
        <v>1117128.6298421677</v>
      </c>
      <c r="F93" s="282">
        <v>1115743</v>
      </c>
      <c r="G93" s="138">
        <f>IF(ISBLANK(F93),"-",$D$101/$F$98*F93)</f>
        <v>1120024.1804272651</v>
      </c>
      <c r="I93" s="336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968159.33333333337</v>
      </c>
      <c r="E95" s="147">
        <f>AVERAGE(E91:E94)</f>
        <v>1114013.0517522723</v>
      </c>
      <c r="F95" s="216">
        <f>AVERAGE(F91:F94)</f>
        <v>1118082.3333333333</v>
      </c>
      <c r="G95" s="217">
        <f>AVERAGE(G91:G94)</f>
        <v>1122372.4899388757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21.88</v>
      </c>
      <c r="E96" s="204"/>
      <c r="F96" s="151">
        <v>25.08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21.88</v>
      </c>
      <c r="E97" s="222"/>
      <c r="F97" s="153">
        <f>F96*$B$87</f>
        <v>25.08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21.726839999999996</v>
      </c>
      <c r="E98" s="200"/>
      <c r="F98" s="156">
        <f>F97*$B$83/100</f>
        <v>24.904440000000001</v>
      </c>
    </row>
    <row r="99" spans="1:10" ht="19.5" customHeight="1" thickBot="1" x14ac:dyDescent="0.35">
      <c r="A99" s="322" t="s">
        <v>73</v>
      </c>
      <c r="B99" s="337"/>
      <c r="C99" s="220" t="s">
        <v>111</v>
      </c>
      <c r="D99" s="224">
        <f>D98/$B$98</f>
        <v>4.3453679999999995E-2</v>
      </c>
      <c r="E99" s="200"/>
      <c r="F99" s="160">
        <f>F98/$B$98</f>
        <v>4.980888E-2</v>
      </c>
      <c r="H99" s="149"/>
    </row>
    <row r="100" spans="1:10" ht="19.5" customHeight="1" thickBot="1" x14ac:dyDescent="0.35">
      <c r="A100" s="324"/>
      <c r="B100" s="338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1118192.7708455739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6.8186201797960349E-3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10</v>
      </c>
      <c r="C108" s="241">
        <v>1</v>
      </c>
      <c r="D108" s="242">
        <v>1068274</v>
      </c>
      <c r="E108" s="277">
        <f t="shared" ref="E108:E113" si="1">IF(ISBLANK(D108),"-",D108/$D$103*$D$100*$B$116)</f>
        <v>47.767881703982695</v>
      </c>
      <c r="F108" s="243">
        <f>IF(ISBLANK(D108), "-", E108/$B$56)</f>
        <v>0.95535763407965391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1048594</v>
      </c>
      <c r="E109" s="278">
        <f t="shared" si="1"/>
        <v>46.887890323555595</v>
      </c>
      <c r="F109" s="244">
        <f t="shared" ref="F109:F113" si="2">IF(ISBLANK(D109), "-", E109/$B$56)</f>
        <v>0.93775780647111195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1070014</v>
      </c>
      <c r="E110" s="278">
        <f t="shared" si="1"/>
        <v>47.845685819935092</v>
      </c>
      <c r="F110" s="244">
        <f>IF(ISBLANK(D110), "-", E110/$B$56)</f>
        <v>0.95691371639870182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1058029</v>
      </c>
      <c r="E111" s="278">
        <f t="shared" si="1"/>
        <v>47.309776435056087</v>
      </c>
      <c r="F111" s="244">
        <f t="shared" si="2"/>
        <v>0.94619552870112178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1069363</v>
      </c>
      <c r="E112" s="278">
        <f t="shared" si="1"/>
        <v>47.816576348966699</v>
      </c>
      <c r="F112" s="244">
        <f>IF(ISBLANK(D112), "-", E112/$B$56)</f>
        <v>0.95633152697933399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1047112</v>
      </c>
      <c r="E113" s="279">
        <f t="shared" si="1"/>
        <v>46.821622679968563</v>
      </c>
      <c r="F113" s="247">
        <f t="shared" si="2"/>
        <v>0.93643245359937122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0.9481647777048825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1000</v>
      </c>
      <c r="C116" s="252"/>
      <c r="D116" s="253"/>
      <c r="E116" s="214" t="s">
        <v>79</v>
      </c>
      <c r="F116" s="254">
        <f>STDEV(F108:F113)/F115</f>
        <v>9.9475732366569401E-3</v>
      </c>
      <c r="I116" s="204"/>
    </row>
    <row r="117" spans="1:10" ht="27" customHeight="1" thickBot="1" x14ac:dyDescent="0.45">
      <c r="A117" s="322" t="s">
        <v>73</v>
      </c>
      <c r="B117" s="323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4"/>
      <c r="B118" s="325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26" t="str">
        <f>B20</f>
        <v>Artesunate</v>
      </c>
      <c r="D120" s="326"/>
      <c r="E120" s="204" t="s">
        <v>119</v>
      </c>
      <c r="F120" s="204"/>
      <c r="G120" s="205">
        <f>F115</f>
        <v>0.9481647777048825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27" t="s">
        <v>21</v>
      </c>
      <c r="C122" s="327"/>
      <c r="E122" s="287" t="s">
        <v>22</v>
      </c>
      <c r="F122" s="261"/>
      <c r="G122" s="327" t="s">
        <v>23</v>
      </c>
      <c r="H122" s="327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2016-01-04T05:01:27Z</cp:lastPrinted>
  <dcterms:created xsi:type="dcterms:W3CDTF">2005-07-05T10:19:27Z</dcterms:created>
  <dcterms:modified xsi:type="dcterms:W3CDTF">2016-01-28T14:59:43Z</dcterms:modified>
</cp:coreProperties>
</file>