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3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B21" i="1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<sst xmlns="http://schemas.openxmlformats.org/spreadsheetml/2006/main" count="435" uniqueCount="132">
  <si>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</si>
  <si>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</si>
  <si>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</si>
  <si>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</si>
  <si>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</si>
  <si>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</si>
  <si>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</si>
  <si>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</si>
  <si>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</si>
  <si>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</si>
  <si>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</si>
  <si>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</si>
  <si>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</si>
  <si>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</si>
  <si>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</si>
  <si>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</si>
  <si>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</si>
  <si>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</si>
  <si>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</si>
  <si>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</si>
  <si>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</si>
  <si>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</si>
  <si>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</si>
  <si>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</si>
  <si>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</si>
  <si>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</si>
  <si>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</si>
  <si>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</si>
  <si>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</si>
  <si>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</si>
  <si>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</si>
  <si>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</si>
  <si>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</si>
  <si>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</si>
  <si>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</si>
  <si>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</si>
  <si>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</si>
  <si>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</si>
  <si>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</si>
  <si>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</si>
  <si>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</si>
  <si>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</si>
  <si>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</si>
  <si>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</si>
  <si>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</si>
  <si>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</si>
  <si>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</si>
  <si>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</si>
  <si>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</si>
  <si>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</si>
  <si>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</si>
  <si>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</si>
  <si>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</si>
  <si>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</si>
  <si>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</si>
  <si>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</si>
  <si>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</si>
  <si>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</si>
  <si>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</si>
  <si>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</si>
  <si>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</si>
  <si>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</si>
  <si>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</si>
  <si>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</si>
  <si>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</si>
  <si>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</si>
  <si>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</si>
  <si>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</si>
  <si>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</si>
  <si>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</si>
  <si>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</si>
  <si>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</si>
  <si>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</si>
  <si>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</si>
  <si>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</si>
  <si>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</si>
  <si>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</si>
  <si>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</si>
  <si>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</si>
  <si>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</si>
  <si>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</si>
  <si>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</si>
  <si>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</si>
  <si>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</si>
  <si>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</si>
  <si>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</si>
  <si>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</si>
  <si>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</si>
  <si>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</si>
  <si>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</si>
  <si>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</si>
  <si>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</si>
  <si>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</si>
  <si>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</si>
  <si>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</si>
  <si>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</si>
  <si>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</si>
  <si>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</si>
  <si>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</si>
  <si>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</si>
  <si>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</si>
  <si>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</si>
  <si>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</si>
  <si>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</si>
  <si>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</si>
  <si>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</si>
  <si>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</si>
  <si>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</si>
  <si>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</si>
  <si>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</si>
  <si>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</si>
  <si>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</si>
  <si>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</si>
  <si>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</si>
  <si>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</si>
  <si>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</si>
  <si>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</si>
  <si>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</si>
  <si>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</si>
  <si>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</si>
  <si>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</si>
  <si>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</si>
  <si>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</si>
  <si>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</si>
  <si>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</si>
  <si>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</si>
  <si>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</si>
  <si>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</si>
  <si>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</si>
  <si>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</si>
  <si>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NDQD201508214</t>
  </si>
  <si>
    <t>Each bilayered tablet contains Artesunate 100mg and Amodiaquine 270mg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</si>
</sst>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3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7" fillId="3" borderId="60" xfId="0" applyFont="1" applyFill="1" applyBorder="1" applyAlignment="1" applyProtection="1">
      <alignment horizontal="center"/>
      <protection locked="0"/>
    </xf>
    <xf numFmtId="0" fontId="7" fillId="3" borderId="61" xfId="0" applyFont="1" applyFill="1" applyBorder="1" applyAlignment="1" applyProtection="1">
      <alignment horizontal="center"/>
      <protection locked="0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0" fontId="7" fillId="3" borderId="63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2" fontId="7" fillId="3" borderId="63" xfId="0" applyNumberFormat="1" applyFont="1" applyFill="1" applyBorder="1" applyAlignment="1" applyProtection="1">
      <alignment horizontal="center"/>
      <protection locked="0"/>
    </xf>
    <xf numFmtId="2" fontId="7" fillId="3" borderId="64" xfId="0" applyNumberFormat="1" applyFont="1" applyFill="1" applyBorder="1" applyAlignment="1" applyProtection="1">
      <alignment horizontal="center"/>
      <protection locked="0"/>
    </xf>
    <xf numFmtId="0" fontId="7" fillId="3" borderId="65" xfId="0" applyFont="1" applyFill="1" applyBorder="1" applyAlignment="1" applyProtection="1">
      <alignment horizontal="center"/>
      <protection locked="0"/>
    </xf>
    <xf numFmtId="0" fontId="7" fillId="3" borderId="66" xfId="0" applyFont="1" applyFill="1" applyBorder="1" applyAlignment="1" applyProtection="1">
      <alignment horizontal="center"/>
      <protection locked="0"/>
    </xf>
    <xf numFmtId="2" fontId="7" fillId="3" borderId="65" xfId="0" applyNumberFormat="1" applyFont="1" applyFill="1" applyBorder="1" applyAlignment="1" applyProtection="1">
      <alignment horizontal="center"/>
      <protection locked="0"/>
    </xf>
    <xf numFmtId="2" fontId="7" fillId="3" borderId="67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34036988</v>
      </c>
      <c r="C24" s="18">
        <v>2791.2</v>
      </c>
      <c r="D24" s="19">
        <v>1.9</v>
      </c>
      <c r="E24" s="20">
        <v>2</v>
      </c>
    </row>
    <row r="25" spans="1:5" ht="16.5" customHeight="1" x14ac:dyDescent="0.3">
      <c r="A25" s="17">
        <v>2</v>
      </c>
      <c r="B25" s="18">
        <v>34563946</v>
      </c>
      <c r="C25" s="18">
        <v>2765.5</v>
      </c>
      <c r="D25" s="19">
        <v>1.8</v>
      </c>
      <c r="E25" s="19">
        <v>2</v>
      </c>
    </row>
    <row r="26" spans="1:5" ht="16.5" customHeight="1" x14ac:dyDescent="0.3">
      <c r="A26" s="17">
        <v>3</v>
      </c>
      <c r="B26" s="18">
        <v>34277818</v>
      </c>
      <c r="C26" s="18">
        <v>2774</v>
      </c>
      <c r="D26" s="19">
        <v>1.9</v>
      </c>
      <c r="E26" s="19">
        <v>2</v>
      </c>
    </row>
    <row r="27" spans="1:5" ht="16.5" customHeight="1" x14ac:dyDescent="0.3">
      <c r="A27" s="17">
        <v>4</v>
      </c>
      <c r="B27" s="18">
        <v>34236139</v>
      </c>
      <c r="C27" s="18">
        <v>2733.8</v>
      </c>
      <c r="D27" s="19">
        <v>1.8</v>
      </c>
      <c r="E27" s="19">
        <v>2</v>
      </c>
    </row>
    <row r="28" spans="1:5" ht="16.5" customHeight="1" x14ac:dyDescent="0.3">
      <c r="A28" s="17">
        <v>5</v>
      </c>
      <c r="B28" s="18">
        <v>34338973</v>
      </c>
      <c r="C28" s="18">
        <v>2753.6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34087434</v>
      </c>
      <c r="C29" s="21">
        <v>2774.2</v>
      </c>
      <c r="D29" s="22">
        <v>1.9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34256883</v>
      </c>
      <c r="C30" s="25">
        <f>AVERAGE(C24:C29)</f>
        <v>2765.3833333333332</v>
      </c>
      <c r="D30" s="26">
        <f>AVERAGE(D24:D29)</f>
        <v>1.8499999999999999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5.5226477428737923E-3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34036988</v>
      </c>
      <c r="C45" s="18">
        <v>2791.2</v>
      </c>
      <c r="D45" s="19">
        <v>1.9</v>
      </c>
      <c r="E45" s="20">
        <v>2</v>
      </c>
    </row>
    <row r="46" spans="1:5" ht="16.5" customHeight="1" x14ac:dyDescent="0.3">
      <c r="A46" s="17">
        <v>2</v>
      </c>
      <c r="B46" s="18">
        <v>34563946</v>
      </c>
      <c r="C46" s="18">
        <v>2765.5</v>
      </c>
      <c r="D46" s="19">
        <v>1.8</v>
      </c>
      <c r="E46" s="19">
        <v>2</v>
      </c>
    </row>
    <row r="47" spans="1:5" ht="16.5" customHeight="1" x14ac:dyDescent="0.3">
      <c r="A47" s="17">
        <v>3</v>
      </c>
      <c r="B47" s="18">
        <v>34277818</v>
      </c>
      <c r="C47" s="18">
        <v>2774</v>
      </c>
      <c r="D47" s="19">
        <v>1.9</v>
      </c>
      <c r="E47" s="19">
        <v>2</v>
      </c>
    </row>
    <row r="48" spans="1:5" ht="16.5" customHeight="1" x14ac:dyDescent="0.3">
      <c r="A48" s="17">
        <v>4</v>
      </c>
      <c r="B48" s="18">
        <v>34236139</v>
      </c>
      <c r="C48" s="18">
        <v>2733.8</v>
      </c>
      <c r="D48" s="19">
        <v>1.8</v>
      </c>
      <c r="E48" s="19">
        <v>2</v>
      </c>
    </row>
    <row r="49" spans="1:7" ht="16.5" customHeight="1" x14ac:dyDescent="0.3">
      <c r="A49" s="17">
        <v>5</v>
      </c>
      <c r="B49" s="18">
        <v>34338973</v>
      </c>
      <c r="C49" s="18">
        <v>2753.6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34087434</v>
      </c>
      <c r="C50" s="21">
        <v>2774.2</v>
      </c>
      <c r="D50" s="22">
        <v>1.9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34256883</v>
      </c>
      <c r="C51" s="25">
        <f>AVERAGE(C45:C50)</f>
        <v>2765.3833333333332</v>
      </c>
      <c r="D51" s="26">
        <f>AVERAGE(D45:D50)</f>
        <v>1.8499999999999999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5.5226477428737923E-3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311" t="s">
        <v>21</v>
      </c>
      <c r="C59" s="311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8" zoomScale="90" zoomScaleNormal="100" zoomScaleSheetLayoutView="90" workbookViewId="0">
      <selection activeCell="G46" sqref="G4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298">
        <v>3804356</v>
      </c>
      <c r="C24" s="299">
        <v>8482.7999999999993</v>
      </c>
      <c r="D24" s="300">
        <v>1</v>
      </c>
      <c r="E24" s="301">
        <v>8.5</v>
      </c>
    </row>
    <row r="25" spans="1:6" ht="16.5" customHeight="1" x14ac:dyDescent="0.3">
      <c r="A25" s="17">
        <v>2</v>
      </c>
      <c r="B25" s="302">
        <v>3833845</v>
      </c>
      <c r="C25" s="303">
        <v>8435.4</v>
      </c>
      <c r="D25" s="304">
        <v>1</v>
      </c>
      <c r="E25" s="305">
        <v>8.5</v>
      </c>
    </row>
    <row r="26" spans="1:6" ht="16.5" customHeight="1" x14ac:dyDescent="0.3">
      <c r="A26" s="17">
        <v>3</v>
      </c>
      <c r="B26" s="302">
        <v>3831175</v>
      </c>
      <c r="C26" s="303">
        <v>8432.4</v>
      </c>
      <c r="D26" s="304">
        <v>1</v>
      </c>
      <c r="E26" s="305">
        <v>8.5</v>
      </c>
    </row>
    <row r="27" spans="1:6" ht="16.5" customHeight="1" x14ac:dyDescent="0.3">
      <c r="A27" s="17">
        <v>4</v>
      </c>
      <c r="B27" s="302">
        <v>3809340</v>
      </c>
      <c r="C27" s="303">
        <v>8471.2000000000007</v>
      </c>
      <c r="D27" s="304">
        <v>1</v>
      </c>
      <c r="E27" s="305">
        <v>8.5</v>
      </c>
    </row>
    <row r="28" spans="1:6" ht="16.5" customHeight="1" x14ac:dyDescent="0.3">
      <c r="A28" s="17">
        <v>5</v>
      </c>
      <c r="B28" s="302">
        <v>3820925</v>
      </c>
      <c r="C28" s="303">
        <v>8451.7000000000007</v>
      </c>
      <c r="D28" s="304">
        <v>1.1000000000000001</v>
      </c>
      <c r="E28" s="305">
        <v>8.5</v>
      </c>
    </row>
    <row r="29" spans="1:6" ht="16.5" customHeight="1" x14ac:dyDescent="0.3">
      <c r="A29" s="17">
        <v>6</v>
      </c>
      <c r="B29" s="306">
        <v>3831179</v>
      </c>
      <c r="C29" s="307">
        <v>8441.5</v>
      </c>
      <c r="D29" s="308">
        <v>1</v>
      </c>
      <c r="E29" s="309">
        <v>8.5</v>
      </c>
    </row>
    <row r="30" spans="1:6" ht="16.5" customHeight="1" x14ac:dyDescent="0.3">
      <c r="A30" s="23" t="s">
        <v>13</v>
      </c>
      <c r="B30" s="24">
        <f>AVERAGE(B24:B29)</f>
        <v>3821803.3333333335</v>
      </c>
      <c r="C30" s="25">
        <f>AVERAGE(C24:C29)</f>
        <v>8452.5</v>
      </c>
      <c r="D30" s="26">
        <f>AVERAGE(D24:D29)</f>
        <v>1.0166666666666666</v>
      </c>
      <c r="E30" s="26">
        <f>AVERAGE(E24:E29)</f>
        <v>8.5</v>
      </c>
    </row>
    <row r="31" spans="1:6" ht="16.5" customHeight="1" x14ac:dyDescent="0.3">
      <c r="A31" s="27" t="s">
        <v>14</v>
      </c>
      <c r="B31" s="28">
        <f>(STDEV(B24:B29)/B30)</f>
        <v>3.2707043226526248E-3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298">
        <v>3804356</v>
      </c>
      <c r="C45" s="299">
        <v>8482.7999999999993</v>
      </c>
      <c r="D45" s="300">
        <v>1</v>
      </c>
      <c r="E45" s="301">
        <v>8.5</v>
      </c>
    </row>
    <row r="46" spans="1:6" ht="16.5" customHeight="1" x14ac:dyDescent="0.3">
      <c r="A46" s="17">
        <v>2</v>
      </c>
      <c r="B46" s="302">
        <v>3833845</v>
      </c>
      <c r="C46" s="303">
        <v>8435.4</v>
      </c>
      <c r="D46" s="304">
        <v>1</v>
      </c>
      <c r="E46" s="305">
        <v>8.5</v>
      </c>
    </row>
    <row r="47" spans="1:6" ht="16.5" customHeight="1" x14ac:dyDescent="0.3">
      <c r="A47" s="17">
        <v>3</v>
      </c>
      <c r="B47" s="302">
        <v>3831175</v>
      </c>
      <c r="C47" s="303">
        <v>8432.4</v>
      </c>
      <c r="D47" s="304">
        <v>1</v>
      </c>
      <c r="E47" s="305">
        <v>8.5</v>
      </c>
    </row>
    <row r="48" spans="1:6" ht="16.5" customHeight="1" x14ac:dyDescent="0.3">
      <c r="A48" s="17">
        <v>4</v>
      </c>
      <c r="B48" s="302">
        <v>3809340</v>
      </c>
      <c r="C48" s="303">
        <v>8471.2000000000007</v>
      </c>
      <c r="D48" s="304">
        <v>1</v>
      </c>
      <c r="E48" s="305">
        <v>8.5</v>
      </c>
    </row>
    <row r="49" spans="1:7" ht="16.5" customHeight="1" x14ac:dyDescent="0.3">
      <c r="A49" s="17">
        <v>5</v>
      </c>
      <c r="B49" s="302">
        <v>3820925</v>
      </c>
      <c r="C49" s="303">
        <v>8451.7000000000007</v>
      </c>
      <c r="D49" s="304">
        <v>1.1000000000000001</v>
      </c>
      <c r="E49" s="305">
        <v>8.5</v>
      </c>
    </row>
    <row r="50" spans="1:7" ht="16.5" customHeight="1" x14ac:dyDescent="0.3">
      <c r="A50" s="17">
        <v>6</v>
      </c>
      <c r="B50" s="306">
        <v>3831179</v>
      </c>
      <c r="C50" s="307">
        <v>8441.5</v>
      </c>
      <c r="D50" s="308">
        <v>1</v>
      </c>
      <c r="E50" s="309">
        <v>8.5</v>
      </c>
    </row>
    <row r="51" spans="1:7" ht="16.5" customHeight="1" x14ac:dyDescent="0.3">
      <c r="A51" s="23" t="s">
        <v>13</v>
      </c>
      <c r="B51" s="24">
        <f>AVERAGE(B45:B50)</f>
        <v>3821803.3333333335</v>
      </c>
      <c r="C51" s="25">
        <f>AVERAGE(C45:C50)</f>
        <v>8452.5</v>
      </c>
      <c r="D51" s="26">
        <f>AVERAGE(D45:D50)</f>
        <v>1.0166666666666666</v>
      </c>
      <c r="E51" s="26">
        <f>AVERAGE(E45:E50)</f>
        <v>8.5</v>
      </c>
    </row>
    <row r="52" spans="1:7" ht="16.5" customHeight="1" x14ac:dyDescent="0.3">
      <c r="A52" s="27" t="s">
        <v>14</v>
      </c>
      <c r="B52" s="28">
        <f>(STDEV(B45:B50)/B51)</f>
        <v>3.2707043226526248E-3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1" t="s">
        <v>21</v>
      </c>
      <c r="C59" s="311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G23" sqref="G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15" t="s">
        <v>26</v>
      </c>
      <c r="B11" s="316"/>
      <c r="C11" s="316"/>
      <c r="D11" s="316"/>
      <c r="E11" s="316"/>
      <c r="F11" s="317"/>
      <c r="G11" s="90"/>
    </row>
    <row r="12" spans="1:7" ht="16.5" customHeight="1" x14ac:dyDescent="0.3">
      <c r="A12" s="314" t="s">
        <v>27</v>
      </c>
      <c r="B12" s="314"/>
      <c r="C12" s="314"/>
      <c r="D12" s="314"/>
      <c r="E12" s="314"/>
      <c r="F12" s="314"/>
      <c r="G12" s="89"/>
    </row>
    <row r="14" spans="1:7" ht="16.5" customHeight="1" x14ac:dyDescent="0.3">
      <c r="A14" s="319" t="s">
        <v>28</v>
      </c>
      <c r="B14" s="319"/>
      <c r="C14" s="60" t="s">
        <v>122</v>
      </c>
    </row>
    <row r="15" spans="1:7" ht="16.5" customHeight="1" x14ac:dyDescent="0.3">
      <c r="A15" s="319" t="s">
        <v>29</v>
      </c>
      <c r="B15" s="319"/>
      <c r="C15" s="60" t="s">
        <v>130</v>
      </c>
    </row>
    <row r="16" spans="1:7" ht="16.5" customHeight="1" x14ac:dyDescent="0.3">
      <c r="A16" s="319" t="s">
        <v>30</v>
      </c>
      <c r="B16" s="319"/>
      <c r="C16" s="60" t="s">
        <v>123</v>
      </c>
    </row>
    <row r="17" spans="1:5" ht="16.5" customHeight="1" x14ac:dyDescent="0.3">
      <c r="A17" s="319" t="s">
        <v>31</v>
      </c>
      <c r="B17" s="319"/>
      <c r="C17" s="60" t="s">
        <v>131</v>
      </c>
    </row>
    <row r="18" spans="1:5" ht="16.5" customHeight="1" x14ac:dyDescent="0.3">
      <c r="A18" s="319" t="s">
        <v>32</v>
      </c>
      <c r="B18" s="319"/>
      <c r="C18" s="96">
        <v>42312</v>
      </c>
    </row>
    <row r="19" spans="1:5" ht="16.5" customHeight="1" x14ac:dyDescent="0.3">
      <c r="A19" s="319" t="s">
        <v>33</v>
      </c>
      <c r="B19" s="319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14" t="s">
        <v>1</v>
      </c>
      <c r="B21" s="314"/>
      <c r="C21" s="59" t="s">
        <v>34</v>
      </c>
      <c r="D21" s="66"/>
    </row>
    <row r="22" spans="1:5" ht="15.75" customHeight="1" x14ac:dyDescent="0.3">
      <c r="A22" s="318"/>
      <c r="B22" s="318"/>
      <c r="C22" s="57"/>
      <c r="D22" s="318"/>
      <c r="E22" s="318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691.43</v>
      </c>
      <c r="D24" s="86">
        <f t="shared" ref="D24:D43" si="0">(C24-$C$46)/$C$46</f>
        <v>-1.5066099815315115E-2</v>
      </c>
      <c r="E24" s="53"/>
    </row>
    <row r="25" spans="1:5" ht="15.75" customHeight="1" x14ac:dyDescent="0.3">
      <c r="C25" s="94">
        <v>686.04</v>
      </c>
      <c r="D25" s="87">
        <f t="shared" si="0"/>
        <v>-2.2744091400863094E-2</v>
      </c>
      <c r="E25" s="53"/>
    </row>
    <row r="26" spans="1:5" ht="15.75" customHeight="1" x14ac:dyDescent="0.3">
      <c r="C26" s="94">
        <v>691.94</v>
      </c>
      <c r="D26" s="87">
        <f t="shared" si="0"/>
        <v>-1.4339610815569238E-2</v>
      </c>
      <c r="E26" s="53"/>
    </row>
    <row r="27" spans="1:5" ht="15.75" customHeight="1" x14ac:dyDescent="0.3">
      <c r="C27" s="94">
        <v>705.75</v>
      </c>
      <c r="D27" s="87">
        <f t="shared" si="0"/>
        <v>5.3325717069571867E-3</v>
      </c>
      <c r="E27" s="53"/>
    </row>
    <row r="28" spans="1:5" ht="15.75" customHeight="1" x14ac:dyDescent="0.3">
      <c r="C28" s="94">
        <v>708.13</v>
      </c>
      <c r="D28" s="87">
        <f t="shared" si="0"/>
        <v>8.7228537057705818E-3</v>
      </c>
      <c r="E28" s="53"/>
    </row>
    <row r="29" spans="1:5" ht="15.75" customHeight="1" x14ac:dyDescent="0.3">
      <c r="C29" s="94">
        <v>719.89</v>
      </c>
      <c r="D29" s="87">
        <f t="shared" si="0"/>
        <v>2.54748353469662E-2</v>
      </c>
      <c r="E29" s="53"/>
    </row>
    <row r="30" spans="1:5" ht="15.75" customHeight="1" x14ac:dyDescent="0.3">
      <c r="C30" s="94">
        <v>717.37</v>
      </c>
      <c r="D30" s="87">
        <f t="shared" si="0"/>
        <v>2.1885124995281446E-2</v>
      </c>
      <c r="E30" s="53"/>
    </row>
    <row r="31" spans="1:5" ht="15.75" customHeight="1" x14ac:dyDescent="0.3">
      <c r="C31" s="94">
        <v>687.02</v>
      </c>
      <c r="D31" s="87">
        <f t="shared" si="0"/>
        <v>-2.1348092930763431E-2</v>
      </c>
      <c r="E31" s="53"/>
    </row>
    <row r="32" spans="1:5" ht="15.75" customHeight="1" x14ac:dyDescent="0.3">
      <c r="C32" s="94">
        <v>691.95</v>
      </c>
      <c r="D32" s="87">
        <f t="shared" si="0"/>
        <v>-1.4325365933221295E-2</v>
      </c>
      <c r="E32" s="53"/>
    </row>
    <row r="33" spans="1:7" ht="15.75" customHeight="1" x14ac:dyDescent="0.3">
      <c r="C33" s="94">
        <v>710.06</v>
      </c>
      <c r="D33" s="87">
        <f t="shared" si="0"/>
        <v>1.1472115998925916E-2</v>
      </c>
      <c r="E33" s="53"/>
    </row>
    <row r="34" spans="1:7" ht="15.75" customHeight="1" x14ac:dyDescent="0.3">
      <c r="C34" s="94">
        <v>706.08</v>
      </c>
      <c r="D34" s="87">
        <f t="shared" si="0"/>
        <v>5.8026528244397753E-3</v>
      </c>
      <c r="E34" s="53"/>
    </row>
    <row r="35" spans="1:7" ht="15.75" customHeight="1" x14ac:dyDescent="0.3">
      <c r="C35" s="94">
        <v>674.88</v>
      </c>
      <c r="D35" s="87">
        <f t="shared" si="0"/>
        <v>-3.8641380101181351E-2</v>
      </c>
      <c r="E35" s="53"/>
    </row>
    <row r="36" spans="1:7" ht="15.75" customHeight="1" x14ac:dyDescent="0.3">
      <c r="C36" s="94">
        <v>692.04</v>
      </c>
      <c r="D36" s="87">
        <f t="shared" si="0"/>
        <v>-1.4197161992089813E-2</v>
      </c>
      <c r="E36" s="53"/>
    </row>
    <row r="37" spans="1:7" ht="15.75" customHeight="1" x14ac:dyDescent="0.3">
      <c r="C37" s="94">
        <v>714.03</v>
      </c>
      <c r="D37" s="87">
        <f t="shared" si="0"/>
        <v>1.7127334291064274E-2</v>
      </c>
      <c r="E37" s="53"/>
    </row>
    <row r="38" spans="1:7" ht="15.75" customHeight="1" x14ac:dyDescent="0.3">
      <c r="C38" s="94">
        <v>717.7</v>
      </c>
      <c r="D38" s="87">
        <f t="shared" si="0"/>
        <v>2.2355206112764037E-2</v>
      </c>
      <c r="E38" s="53"/>
    </row>
    <row r="39" spans="1:7" ht="15.75" customHeight="1" x14ac:dyDescent="0.3">
      <c r="C39" s="94">
        <v>723.47</v>
      </c>
      <c r="D39" s="87">
        <f t="shared" si="0"/>
        <v>3.0574503227534317E-2</v>
      </c>
      <c r="E39" s="53"/>
    </row>
    <row r="40" spans="1:7" ht="15.75" customHeight="1" x14ac:dyDescent="0.3">
      <c r="C40" s="94">
        <v>681.78</v>
      </c>
      <c r="D40" s="87">
        <f t="shared" si="0"/>
        <v>-2.8812411281092111E-2</v>
      </c>
      <c r="E40" s="53"/>
    </row>
    <row r="41" spans="1:7" ht="15.75" customHeight="1" x14ac:dyDescent="0.3">
      <c r="C41" s="94">
        <v>713.57</v>
      </c>
      <c r="D41" s="87">
        <f t="shared" si="0"/>
        <v>1.6472069703058433E-2</v>
      </c>
      <c r="E41" s="53"/>
    </row>
    <row r="42" spans="1:7" ht="15.75" customHeight="1" x14ac:dyDescent="0.3">
      <c r="C42" s="94">
        <v>701.98</v>
      </c>
      <c r="D42" s="87">
        <f t="shared" si="0"/>
        <v>-3.7748938221999073E-5</v>
      </c>
      <c r="E42" s="53"/>
    </row>
    <row r="43" spans="1:7" ht="16.5" customHeight="1" x14ac:dyDescent="0.3">
      <c r="C43" s="95">
        <v>705.02</v>
      </c>
      <c r="D43" s="88">
        <f t="shared" si="0"/>
        <v>4.2926952955564118E-3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14040.13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702.00649999999996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12">
        <f>C46</f>
        <v>702.00649999999996</v>
      </c>
      <c r="C49" s="92">
        <f>-IF(C46&lt;=80,10%,IF(C46&lt;250,7.5%,5%))</f>
        <v>-0.05</v>
      </c>
      <c r="D49" s="80">
        <f>IF(C46&lt;=80,C46*0.9,IF(C46&lt;250,C46*0.925,C46*0.95))</f>
        <v>666.90617499999996</v>
      </c>
    </row>
    <row r="50" spans="1:6" ht="17.25" customHeight="1" x14ac:dyDescent="0.3">
      <c r="B50" s="313"/>
      <c r="C50" s="93">
        <f>IF(C46&lt;=80, 10%, IF(C46&lt;250, 7.5%, 5%))</f>
        <v>0.05</v>
      </c>
      <c r="D50" s="80">
        <f>IF(C46&lt;=80, C46*1.1, IF(C46&lt;250, C46*1.075, C46*1.05))</f>
        <v>737.10682499999996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37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40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41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7"/>
    </row>
    <row r="16" spans="1:9" ht="19.5" customHeight="1" x14ac:dyDescent="0.3">
      <c r="A16" s="353" t="s">
        <v>26</v>
      </c>
      <c r="B16" s="354"/>
      <c r="C16" s="354"/>
      <c r="D16" s="354"/>
      <c r="E16" s="354"/>
      <c r="F16" s="354"/>
      <c r="G16" s="354"/>
      <c r="H16" s="355"/>
    </row>
    <row r="17" spans="1:14" ht="20.25" customHeight="1" x14ac:dyDescent="0.25">
      <c r="A17" s="356" t="s">
        <v>42</v>
      </c>
      <c r="B17" s="356"/>
      <c r="C17" s="356"/>
      <c r="D17" s="356"/>
      <c r="E17" s="356"/>
      <c r="F17" s="356"/>
      <c r="G17" s="356"/>
      <c r="H17" s="356"/>
    </row>
    <row r="18" spans="1:14" ht="26.25" customHeight="1" x14ac:dyDescent="0.4">
      <c r="A18" s="99" t="s">
        <v>28</v>
      </c>
      <c r="B18" s="352" t="s">
        <v>121</v>
      </c>
      <c r="C18" s="352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NDQD201508214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57" t="s">
        <v>128</v>
      </c>
      <c r="C20" s="357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57" t="str">
        <f>Uniformity!C17</f>
        <v>Each bilayered tablet contains Artesunate 100mg and Amodiaquine 270mg</v>
      </c>
      <c r="C21" s="357"/>
      <c r="D21" s="357"/>
      <c r="E21" s="357"/>
      <c r="F21" s="357"/>
      <c r="G21" s="357"/>
      <c r="H21" s="357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52" t="s">
        <v>125</v>
      </c>
      <c r="C26" s="352"/>
    </row>
    <row r="27" spans="1:14" ht="26.25" customHeight="1" x14ac:dyDescent="0.4">
      <c r="A27" s="108" t="s">
        <v>43</v>
      </c>
      <c r="B27" s="349" t="s">
        <v>126</v>
      </c>
      <c r="C27" s="349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28" t="s">
        <v>45</v>
      </c>
      <c r="D29" s="329"/>
      <c r="E29" s="329"/>
      <c r="F29" s="329"/>
      <c r="G29" s="330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31" t="s">
        <v>48</v>
      </c>
      <c r="D31" s="332"/>
      <c r="E31" s="332"/>
      <c r="F31" s="332"/>
      <c r="G31" s="332"/>
      <c r="H31" s="333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31" t="s">
        <v>50</v>
      </c>
      <c r="D32" s="332"/>
      <c r="E32" s="332"/>
      <c r="F32" s="332"/>
      <c r="G32" s="332"/>
      <c r="H32" s="333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34" t="s">
        <v>54</v>
      </c>
      <c r="E36" s="351"/>
      <c r="F36" s="334" t="s">
        <v>55</v>
      </c>
      <c r="G36" s="335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34507432</v>
      </c>
      <c r="E38" s="132">
        <f>IF(ISBLANK(D38),"-",$D$48/$D$45*D38)</f>
        <v>35961644.666493602</v>
      </c>
      <c r="F38" s="131">
        <v>36290399</v>
      </c>
      <c r="G38" s="133">
        <f>IF(ISBLANK(F38),"-",$D$48/$F$45*F38)</f>
        <v>36122229.37700469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34049062</v>
      </c>
      <c r="E39" s="137">
        <f>IF(ISBLANK(D39),"-",$D$48/$D$45*D39)</f>
        <v>35483958.031748347</v>
      </c>
      <c r="F39" s="136">
        <v>36177951</v>
      </c>
      <c r="G39" s="138">
        <f>IF(ISBLANK(F39),"-",$D$48/$F$45*F39)</f>
        <v>36010302.460770302</v>
      </c>
      <c r="I39" s="336">
        <f>ABS((F43/D43*D42)-F42)/D42</f>
        <v>1.0696484277380019E-2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34055048</v>
      </c>
      <c r="E40" s="137">
        <f>IF(ISBLANK(D40),"-",$D$48/$D$45*D40)</f>
        <v>35490196.293841384</v>
      </c>
      <c r="F40" s="136">
        <v>36062879</v>
      </c>
      <c r="G40" s="138">
        <f>IF(ISBLANK(F40),"-",$D$48/$F$45*F40)</f>
        <v>35895763.7041457</v>
      </c>
      <c r="I40" s="336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34203847.333333336</v>
      </c>
      <c r="E42" s="147">
        <f>AVERAGE(E38:E41)</f>
        <v>35645266.330694444</v>
      </c>
      <c r="F42" s="146">
        <f>AVERAGE(F38:F41)</f>
        <v>36177076.333333336</v>
      </c>
      <c r="G42" s="148">
        <f>AVERAGE(G38:G41)</f>
        <v>36009431.8473069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14.47</v>
      </c>
      <c r="E43" s="139"/>
      <c r="F43" s="151">
        <v>15.15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12.00653303481891</v>
      </c>
      <c r="E44" s="154"/>
      <c r="F44" s="153">
        <f>F43*$B$34</f>
        <v>12.570765409641083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11.994526501784092</v>
      </c>
      <c r="E45" s="157"/>
      <c r="F45" s="156">
        <f>F44*$B$30/100</f>
        <v>12.558194644231444</v>
      </c>
      <c r="H45" s="149"/>
    </row>
    <row r="46" spans="1:14" ht="19.5" customHeight="1" x14ac:dyDescent="0.3">
      <c r="A46" s="322" t="s">
        <v>73</v>
      </c>
      <c r="B46" s="323"/>
      <c r="C46" s="152" t="s">
        <v>74</v>
      </c>
      <c r="D46" s="158">
        <f>D45/$B$45</f>
        <v>0.19191242402854547</v>
      </c>
      <c r="E46" s="159"/>
      <c r="F46" s="160">
        <f>F45/$B$45</f>
        <v>0.20093111430770311</v>
      </c>
      <c r="H46" s="149"/>
    </row>
    <row r="47" spans="1:14" ht="27" customHeight="1" x14ac:dyDescent="0.4">
      <c r="A47" s="324"/>
      <c r="B47" s="325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35827349.089000672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7.6411809735600095E-3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270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702.00649999999996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39" t="s">
        <v>89</v>
      </c>
      <c r="D60" s="342">
        <v>706.06</v>
      </c>
      <c r="E60" s="181">
        <v>1</v>
      </c>
      <c r="F60" s="182">
        <v>39925004</v>
      </c>
      <c r="G60" s="271">
        <f>IF(ISBLANK(F60),"-",(F60/$D$50*$D$47*$B$68)*($B$57/$D$60))</f>
        <v>276.99365862915823</v>
      </c>
      <c r="H60" s="183">
        <f>IF(ISBLANK(F60),"-",G60/$B$56)</f>
        <v>1.0259024393672527</v>
      </c>
      <c r="L60" s="111"/>
    </row>
    <row r="61" spans="1:12" s="14" customFormat="1" ht="26.25" customHeight="1" x14ac:dyDescent="0.4">
      <c r="A61" s="123" t="s">
        <v>90</v>
      </c>
      <c r="B61" s="124">
        <v>100</v>
      </c>
      <c r="C61" s="340"/>
      <c r="D61" s="343"/>
      <c r="E61" s="184">
        <v>2</v>
      </c>
      <c r="F61" s="136">
        <v>39697061</v>
      </c>
      <c r="G61" s="272">
        <f>IF(ISBLANK(F61),"-",(F61/$D$50*$D$47*$B$68)*($B$57/$D$60))</f>
        <v>275.41222446001183</v>
      </c>
      <c r="H61" s="185">
        <f t="shared" ref="H61:H71" si="0">IF(ISBLANK(F61),"-",G61/$B$56)</f>
        <v>1.0200452757778216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40"/>
      <c r="D62" s="343"/>
      <c r="E62" s="184">
        <v>3</v>
      </c>
      <c r="F62" s="186">
        <v>40156180</v>
      </c>
      <c r="G62" s="272">
        <f>IF(ISBLANK(F62),"-",(F62/$D$50*$D$47*$B$68)*($B$57/$D$60))</f>
        <v>278.5975228648951</v>
      </c>
      <c r="H62" s="185">
        <f t="shared" si="0"/>
        <v>1.0318426772773892</v>
      </c>
      <c r="L62" s="111"/>
    </row>
    <row r="63" spans="1:12" ht="27" customHeight="1" x14ac:dyDescent="0.4">
      <c r="A63" s="123" t="s">
        <v>92</v>
      </c>
      <c r="B63" s="124">
        <v>1</v>
      </c>
      <c r="C63" s="350"/>
      <c r="D63" s="34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39" t="s">
        <v>94</v>
      </c>
      <c r="D64" s="342">
        <v>706.36</v>
      </c>
      <c r="E64" s="181">
        <v>1</v>
      </c>
      <c r="F64" s="182">
        <v>40181225</v>
      </c>
      <c r="G64" s="273">
        <f>IF(ISBLANK(F64),"-",(F64/$D$50*$D$47*$B$68)*($B$57/$D$64))</f>
        <v>278.6528836203031</v>
      </c>
      <c r="H64" s="189">
        <f>IF(ISBLANK(F64),"-",G64/$B$56)</f>
        <v>1.0320477171122338</v>
      </c>
    </row>
    <row r="65" spans="1:8" ht="26.25" customHeight="1" x14ac:dyDescent="0.4">
      <c r="A65" s="123" t="s">
        <v>95</v>
      </c>
      <c r="B65" s="124">
        <v>1</v>
      </c>
      <c r="C65" s="340"/>
      <c r="D65" s="343"/>
      <c r="E65" s="184">
        <v>2</v>
      </c>
      <c r="F65" s="136">
        <v>39654510</v>
      </c>
      <c r="G65" s="274">
        <f>IF(ISBLANK(F65),"-",(F65/$D$50*$D$47*$B$68)*($B$57/$D$64))</f>
        <v>275.00016637248234</v>
      </c>
      <c r="H65" s="190">
        <f t="shared" si="0"/>
        <v>1.0185191347128975</v>
      </c>
    </row>
    <row r="66" spans="1:8" ht="26.25" customHeight="1" x14ac:dyDescent="0.4">
      <c r="A66" s="123" t="s">
        <v>96</v>
      </c>
      <c r="B66" s="124">
        <v>1</v>
      </c>
      <c r="C66" s="340"/>
      <c r="D66" s="343"/>
      <c r="E66" s="184">
        <v>3</v>
      </c>
      <c r="F66" s="136">
        <v>40243840</v>
      </c>
      <c r="G66" s="274">
        <f>IF(ISBLANK(F66),"-",(F66/$D$50*$D$47*$B$68)*($B$57/$D$64))</f>
        <v>279.08711254955762</v>
      </c>
      <c r="H66" s="190">
        <f t="shared" si="0"/>
        <v>1.033655972405769</v>
      </c>
    </row>
    <row r="67" spans="1:8" ht="27" customHeight="1" x14ac:dyDescent="0.4">
      <c r="A67" s="123" t="s">
        <v>97</v>
      </c>
      <c r="B67" s="124">
        <v>1</v>
      </c>
      <c r="C67" s="350"/>
      <c r="D67" s="34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1250</v>
      </c>
      <c r="C68" s="339" t="s">
        <v>99</v>
      </c>
      <c r="D68" s="342">
        <v>710.23</v>
      </c>
      <c r="E68" s="181">
        <v>1</v>
      </c>
      <c r="F68" s="182">
        <v>39829489</v>
      </c>
      <c r="G68" s="273">
        <f>IF(ISBLANK(F68),"-",(F68/$D$50*$D$47*$B$68)*($B$57/$D$68))</f>
        <v>274.70855746800419</v>
      </c>
      <c r="H68" s="185">
        <f>IF(ISBLANK(F68),"-",G68/$B$56)</f>
        <v>1.0174391017333488</v>
      </c>
    </row>
    <row r="69" spans="1:8" ht="27" customHeight="1" x14ac:dyDescent="0.4">
      <c r="A69" s="171" t="s">
        <v>100</v>
      </c>
      <c r="B69" s="193">
        <f>(D47*B68)/B56*B57</f>
        <v>650.00601851851843</v>
      </c>
      <c r="C69" s="340"/>
      <c r="D69" s="343"/>
      <c r="E69" s="184">
        <v>2</v>
      </c>
      <c r="F69" s="136">
        <v>39613617</v>
      </c>
      <c r="G69" s="274">
        <f>IF(ISBLANK(F69),"-",(F69/$D$50*$D$47*$B$68)*($B$57/$D$68))</f>
        <v>273.21966350509814</v>
      </c>
      <c r="H69" s="185">
        <f t="shared" si="0"/>
        <v>1.0119246796485117</v>
      </c>
    </row>
    <row r="70" spans="1:8" ht="26.25" customHeight="1" x14ac:dyDescent="0.4">
      <c r="A70" s="345" t="s">
        <v>73</v>
      </c>
      <c r="B70" s="346"/>
      <c r="C70" s="340"/>
      <c r="D70" s="343"/>
      <c r="E70" s="184">
        <v>3</v>
      </c>
      <c r="F70" s="136">
        <v>39928278</v>
      </c>
      <c r="G70" s="274">
        <f>IF(ISBLANK(F70),"-",(F70/$D$50*$D$47*$B$68)*($B$57/$D$68))</f>
        <v>275.38991654051716</v>
      </c>
      <c r="H70" s="185">
        <f t="shared" si="0"/>
        <v>1.0199626538537672</v>
      </c>
    </row>
    <row r="71" spans="1:8" ht="27" customHeight="1" x14ac:dyDescent="0.4">
      <c r="A71" s="347"/>
      <c r="B71" s="348"/>
      <c r="C71" s="341"/>
      <c r="D71" s="34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1.0234821835432213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7.5013821096868404E-3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26" t="str">
        <f>B20</f>
        <v>Amodiaquine</v>
      </c>
      <c r="D76" s="326"/>
      <c r="E76" s="204" t="s">
        <v>103</v>
      </c>
      <c r="F76" s="204"/>
      <c r="G76" s="205">
        <f>H72</f>
        <v>1.0234821835432213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49" t="str">
        <f>B26</f>
        <v>Amodiaquine HCl</v>
      </c>
      <c r="C79" s="349"/>
    </row>
    <row r="80" spans="1:8" ht="26.25" customHeight="1" x14ac:dyDescent="0.4">
      <c r="A80" s="108" t="s">
        <v>43</v>
      </c>
      <c r="B80" s="349" t="str">
        <f>B27</f>
        <v>A7 1</v>
      </c>
      <c r="C80" s="349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28" t="s">
        <v>45</v>
      </c>
      <c r="D82" s="329"/>
      <c r="E82" s="329"/>
      <c r="F82" s="329"/>
      <c r="G82" s="330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31" t="s">
        <v>106</v>
      </c>
      <c r="D84" s="332"/>
      <c r="E84" s="332"/>
      <c r="F84" s="332"/>
      <c r="G84" s="332"/>
      <c r="H84" s="333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31" t="s">
        <v>107</v>
      </c>
      <c r="D85" s="332"/>
      <c r="E85" s="332"/>
      <c r="F85" s="332"/>
      <c r="G85" s="332"/>
      <c r="H85" s="333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34" t="s">
        <v>55</v>
      </c>
      <c r="G89" s="335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20449161</v>
      </c>
      <c r="E91" s="132">
        <f>IF(ISBLANK(D91),"-",$D$101/$D$98*D91)</f>
        <v>26638662.274619527</v>
      </c>
      <c r="F91" s="281">
        <v>21488692</v>
      </c>
      <c r="G91" s="133">
        <f>IF(ISBLANK(F91),"-",$D$101/$F$98*F91)</f>
        <v>26736391.81522245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20707386</v>
      </c>
      <c r="E92" s="137">
        <f>IF(ISBLANK(D92),"-",$D$101/$D$98*D92)</f>
        <v>26975046.176426727</v>
      </c>
      <c r="F92" s="282">
        <v>21808459</v>
      </c>
      <c r="G92" s="138">
        <f>IF(ISBLANK(F92),"-",$D$101/$F$98*F92)</f>
        <v>27134248.315821845</v>
      </c>
      <c r="I92" s="336">
        <f>ABS((F96/D96*D95)-F95)/D95</f>
        <v>6.9090756651530765E-3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20693200</v>
      </c>
      <c r="E93" s="137">
        <f>IF(ISBLANK(D93),"-",$D$101/$D$98*D93)</f>
        <v>26956566.393171672</v>
      </c>
      <c r="F93" s="282">
        <v>21886474</v>
      </c>
      <c r="G93" s="138">
        <f>IF(ISBLANK(F93),"-",$D$101/$F$98*F93)</f>
        <v>27231315.164165366</v>
      </c>
      <c r="I93" s="336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20616582.333333332</v>
      </c>
      <c r="E95" s="147">
        <f>AVERAGE(E91:E94)</f>
        <v>26856758.281405974</v>
      </c>
      <c r="F95" s="216">
        <f>AVERAGE(F91:F94)</f>
        <v>21727875</v>
      </c>
      <c r="G95" s="217">
        <f>AVERAGE(G91:G94)</f>
        <v>27033985.098403219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14.47</v>
      </c>
      <c r="E96" s="139"/>
      <c r="F96" s="151">
        <v>15.15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12.00653303481891</v>
      </c>
      <c r="E97" s="154"/>
      <c r="F97" s="153">
        <f>F96*$B$87</f>
        <v>12.570765409641083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11.994526501784092</v>
      </c>
      <c r="E98" s="157"/>
      <c r="F98" s="156">
        <f>F97*$B$83/100</f>
        <v>12.558194644231444</v>
      </c>
    </row>
    <row r="99" spans="1:10" ht="19.5" customHeight="1" x14ac:dyDescent="0.3">
      <c r="A99" s="322" t="s">
        <v>73</v>
      </c>
      <c r="B99" s="337"/>
      <c r="C99" s="220" t="s">
        <v>111</v>
      </c>
      <c r="D99" s="224">
        <f>D98/$B$98</f>
        <v>5.7573727208563637E-2</v>
      </c>
      <c r="E99" s="157"/>
      <c r="F99" s="160">
        <f>F98/$B$98</f>
        <v>6.0279334292310929E-2</v>
      </c>
      <c r="G99" s="225"/>
      <c r="H99" s="149"/>
    </row>
    <row r="100" spans="1:10" ht="19.5" customHeight="1" x14ac:dyDescent="0.3">
      <c r="A100" s="324"/>
      <c r="B100" s="338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26945371.6899046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8.4005850458422765E-3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24664306</v>
      </c>
      <c r="E108" s="277">
        <f t="shared" ref="E108:E113" si="1">IF(ISBLANK(D108),"-",D108/$D$103*$D$100*$B$116)</f>
        <v>247.14309739861591</v>
      </c>
      <c r="F108" s="243">
        <f>IF(ISBLANK(D108), "-", E108/$B$56)</f>
        <v>0.9153448051800589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24076865</v>
      </c>
      <c r="E109" s="278">
        <f t="shared" si="1"/>
        <v>241.25677778034077</v>
      </c>
      <c r="F109" s="244">
        <f t="shared" ref="F109:F113" si="2">IF(ISBLANK(D109), "-", E109/$B$56)</f>
        <v>0.8935436214086695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24540264</v>
      </c>
      <c r="E110" s="278">
        <f t="shared" si="1"/>
        <v>245.90016260501093</v>
      </c>
      <c r="F110" s="244">
        <f>IF(ISBLANK(D110), "-", E110/$B$56)</f>
        <v>0.91074134298152198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24051636</v>
      </c>
      <c r="E111" s="278">
        <f t="shared" si="1"/>
        <v>241.00397629449037</v>
      </c>
      <c r="F111" s="244">
        <f t="shared" si="2"/>
        <v>0.89260731960922357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24716017</v>
      </c>
      <c r="E112" s="278">
        <f t="shared" si="1"/>
        <v>247.66125577329626</v>
      </c>
      <c r="F112" s="244">
        <f>IF(ISBLANK(D112), "-", E112/$B$56)</f>
        <v>0.91726391027146759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23637213</v>
      </c>
      <c r="E113" s="279">
        <f t="shared" si="1"/>
        <v>236.85134439585812</v>
      </c>
      <c r="F113" s="247">
        <f t="shared" si="2"/>
        <v>0.87722720146614119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0.90112136681951371</v>
      </c>
    </row>
    <row r="116" spans="1:10" ht="27" customHeight="1" x14ac:dyDescent="0.4">
      <c r="A116" s="123" t="s">
        <v>98</v>
      </c>
      <c r="B116" s="155">
        <f>(B115/B114)*(B113/B112)*(B111/B110)*(B109/B108)*B107</f>
        <v>3600</v>
      </c>
      <c r="C116" s="252"/>
      <c r="D116" s="253"/>
      <c r="E116" s="214" t="s">
        <v>79</v>
      </c>
      <c r="F116" s="254">
        <f>STDEV(F108:F113)/F115</f>
        <v>1.759032780663175E-2</v>
      </c>
      <c r="I116" s="97"/>
    </row>
    <row r="117" spans="1:10" ht="27" customHeight="1" x14ac:dyDescent="0.4">
      <c r="A117" s="322" t="s">
        <v>73</v>
      </c>
      <c r="B117" s="323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24"/>
      <c r="B118" s="325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26" t="str">
        <f>B20</f>
        <v>Amodiaquine</v>
      </c>
      <c r="D120" s="326"/>
      <c r="E120" s="204" t="s">
        <v>119</v>
      </c>
      <c r="F120" s="204"/>
      <c r="G120" s="205">
        <f>F115</f>
        <v>0.90112136681951371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27" t="s">
        <v>21</v>
      </c>
      <c r="C122" s="327"/>
      <c r="E122" s="210" t="s">
        <v>22</v>
      </c>
      <c r="F122" s="261"/>
      <c r="G122" s="327" t="s">
        <v>23</v>
      </c>
      <c r="H122" s="327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34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20" t="s">
        <v>40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41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thickBot="1" x14ac:dyDescent="0.35">
      <c r="A15" s="204"/>
    </row>
    <row r="16" spans="1:9" ht="19.5" customHeight="1" thickBot="1" x14ac:dyDescent="0.35">
      <c r="A16" s="353" t="s">
        <v>26</v>
      </c>
      <c r="B16" s="354"/>
      <c r="C16" s="354"/>
      <c r="D16" s="354"/>
      <c r="E16" s="354"/>
      <c r="F16" s="354"/>
      <c r="G16" s="354"/>
      <c r="H16" s="355"/>
    </row>
    <row r="17" spans="1:14" ht="20.25" customHeight="1" x14ac:dyDescent="0.25">
      <c r="A17" s="356" t="s">
        <v>42</v>
      </c>
      <c r="B17" s="356"/>
      <c r="C17" s="356"/>
      <c r="D17" s="356"/>
      <c r="E17" s="356"/>
      <c r="F17" s="356"/>
      <c r="G17" s="356"/>
      <c r="H17" s="356"/>
    </row>
    <row r="18" spans="1:14" ht="26.25" customHeight="1" x14ac:dyDescent="0.4">
      <c r="A18" s="99" t="s">
        <v>28</v>
      </c>
      <c r="B18" s="352" t="s">
        <v>121</v>
      </c>
      <c r="C18" s="352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NDQD201508214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57" t="s">
        <v>124</v>
      </c>
      <c r="C20" s="357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57" t="str">
        <f>Uniformity!C17</f>
        <v>Each bilayered tablet contains Artesunate 100mg and Amodiaquine 270mg</v>
      </c>
      <c r="C21" s="357"/>
      <c r="D21" s="357"/>
      <c r="E21" s="357"/>
      <c r="F21" s="357"/>
      <c r="G21" s="357"/>
      <c r="H21" s="357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52" t="s">
        <v>124</v>
      </c>
      <c r="C26" s="352"/>
    </row>
    <row r="27" spans="1:14" ht="26.25" customHeight="1" x14ac:dyDescent="0.4">
      <c r="A27" s="214" t="s">
        <v>43</v>
      </c>
      <c r="B27" s="349" t="s">
        <v>127</v>
      </c>
      <c r="C27" s="349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28" t="s">
        <v>45</v>
      </c>
      <c r="D29" s="329"/>
      <c r="E29" s="329"/>
      <c r="F29" s="329"/>
      <c r="G29" s="330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31" t="s">
        <v>48</v>
      </c>
      <c r="D31" s="332"/>
      <c r="E31" s="332"/>
      <c r="F31" s="332"/>
      <c r="G31" s="332"/>
      <c r="H31" s="333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31" t="s">
        <v>50</v>
      </c>
      <c r="D32" s="332"/>
      <c r="E32" s="332"/>
      <c r="F32" s="332"/>
      <c r="G32" s="332"/>
      <c r="H32" s="333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34" t="s">
        <v>54</v>
      </c>
      <c r="E36" s="351"/>
      <c r="F36" s="334" t="s">
        <v>55</v>
      </c>
      <c r="G36" s="335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3826679</v>
      </c>
      <c r="E38" s="132">
        <f>IF(ISBLANK(D38),"-",$D$48/$D$45*D38)</f>
        <v>2957524.6216995562</v>
      </c>
      <c r="F38" s="131">
        <v>3891441</v>
      </c>
      <c r="G38" s="133">
        <f>IF(ISBLANK(F38),"-",$D$48/$F$45*F38)</f>
        <v>2948738.2330944152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3815976</v>
      </c>
      <c r="E39" s="137">
        <f>IF(ISBLANK(D39),"-",$D$48/$D$45*D39)</f>
        <v>2949252.5962628657</v>
      </c>
      <c r="F39" s="136">
        <v>3900601</v>
      </c>
      <c r="G39" s="138">
        <f>IF(ISBLANK(F39),"-",$D$48/$F$45*F39)</f>
        <v>2955679.2203058735</v>
      </c>
      <c r="I39" s="336">
        <f>ABS((F43/D43*D42)-F42)/D42</f>
        <v>3.0764199952663589E-3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3841903</v>
      </c>
      <c r="E40" s="137">
        <f>IF(ISBLANK(D40),"-",$D$48/$D$45*D40)</f>
        <v>2969290.7914882307</v>
      </c>
      <c r="F40" s="136">
        <v>3886347</v>
      </c>
      <c r="G40" s="138">
        <f>IF(ISBLANK(F40),"-",$D$48/$F$45*F40)</f>
        <v>2944878.2561451611</v>
      </c>
      <c r="I40" s="336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3828186</v>
      </c>
      <c r="E42" s="147">
        <f>AVERAGE(E38:E41)</f>
        <v>2958689.3364835507</v>
      </c>
      <c r="F42" s="146">
        <f>AVERAGE(F38:F41)</f>
        <v>3892796.3333333335</v>
      </c>
      <c r="G42" s="148">
        <f>AVERAGE(G38:G41)</f>
        <v>2949765.2365151499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26.06</v>
      </c>
      <c r="E43" s="204"/>
      <c r="F43" s="151">
        <v>26.58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26.06</v>
      </c>
      <c r="E44" s="222"/>
      <c r="F44" s="153">
        <f>F43*$B$34</f>
        <v>26.58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25.877579999999998</v>
      </c>
      <c r="E45" s="200"/>
      <c r="F45" s="156">
        <f>F44*$B$30/100</f>
        <v>26.393939999999997</v>
      </c>
      <c r="H45" s="149"/>
    </row>
    <row r="46" spans="1:14" ht="19.5" customHeight="1" thickBot="1" x14ac:dyDescent="0.35">
      <c r="A46" s="322" t="s">
        <v>73</v>
      </c>
      <c r="B46" s="323"/>
      <c r="C46" s="152" t="s">
        <v>74</v>
      </c>
      <c r="D46" s="158">
        <f>D45/$B$45</f>
        <v>5.175516</v>
      </c>
      <c r="E46" s="159"/>
      <c r="F46" s="160">
        <f>F45/$B$45</f>
        <v>5.2787879999999996</v>
      </c>
      <c r="H46" s="149"/>
    </row>
    <row r="47" spans="1:14" ht="27" customHeight="1" thickBot="1" x14ac:dyDescent="0.45">
      <c r="A47" s="324"/>
      <c r="B47" s="325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2954227.2864993499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2.9593759901607552E-3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100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702.00649999999996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25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39" t="s">
        <v>89</v>
      </c>
      <c r="D60" s="342">
        <v>717.84</v>
      </c>
      <c r="E60" s="181">
        <v>1</v>
      </c>
      <c r="F60" s="182">
        <v>3219207</v>
      </c>
      <c r="G60" s="271">
        <f>IF(ISBLANK(F60),"-",(F60/$D$50*$D$47*$B$68)*($B$57/$D$60))</f>
        <v>106.56595391758678</v>
      </c>
      <c r="H60" s="183">
        <f>IF(ISBLANK(F60),"-",G60/$B$56)</f>
        <v>1.0656595391758679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40"/>
      <c r="D61" s="343"/>
      <c r="E61" s="184">
        <v>2</v>
      </c>
      <c r="F61" s="136">
        <v>3285547</v>
      </c>
      <c r="G61" s="272">
        <f>IF(ISBLANK(F61),"-",(F61/$D$50*$D$47*$B$68)*($B$57/$D$60))</f>
        <v>108.76201816039338</v>
      </c>
      <c r="H61" s="185">
        <f t="shared" ref="H61:H71" si="0">IF(ISBLANK(F61),"-",G61/$B$56)</f>
        <v>1.0876201816039339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40"/>
      <c r="D62" s="343"/>
      <c r="E62" s="184">
        <v>3</v>
      </c>
      <c r="F62" s="186">
        <v>3286414</v>
      </c>
      <c r="G62" s="272">
        <f>IF(ISBLANK(F62),"-",(F62/$D$50*$D$47*$B$68)*($B$57/$D$60))</f>
        <v>108.79071860806467</v>
      </c>
      <c r="H62" s="185">
        <f t="shared" si="0"/>
        <v>1.0879071860806466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50"/>
      <c r="D63" s="34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39" t="s">
        <v>94</v>
      </c>
      <c r="D64" s="342">
        <v>691.58</v>
      </c>
      <c r="E64" s="181">
        <v>1</v>
      </c>
      <c r="F64" s="182">
        <v>3175293</v>
      </c>
      <c r="G64" s="273">
        <f>IF(ISBLANK(F64),"-",(F64/$D$50*$D$47*$B$68)*($B$57/$D$64))</f>
        <v>109.10348142666128</v>
      </c>
      <c r="H64" s="189">
        <f>IF(ISBLANK(F64),"-",G64/$B$56)</f>
        <v>1.0910348142666129</v>
      </c>
    </row>
    <row r="65" spans="1:8" ht="26.25" customHeight="1" x14ac:dyDescent="0.4">
      <c r="A65" s="123" t="s">
        <v>95</v>
      </c>
      <c r="B65" s="124">
        <v>1</v>
      </c>
      <c r="C65" s="340"/>
      <c r="D65" s="343"/>
      <c r="E65" s="184">
        <v>2</v>
      </c>
      <c r="F65" s="136">
        <v>3208080</v>
      </c>
      <c r="G65" s="274">
        <f>IF(ISBLANK(F65),"-",(F65/$D$50*$D$47*$B$68)*($B$57/$D$64))</f>
        <v>110.23004702093429</v>
      </c>
      <c r="H65" s="190">
        <f t="shared" si="0"/>
        <v>1.1023004702093429</v>
      </c>
    </row>
    <row r="66" spans="1:8" ht="26.25" customHeight="1" x14ac:dyDescent="0.4">
      <c r="A66" s="123" t="s">
        <v>96</v>
      </c>
      <c r="B66" s="124">
        <v>1</v>
      </c>
      <c r="C66" s="340"/>
      <c r="D66" s="343"/>
      <c r="E66" s="184">
        <v>3</v>
      </c>
      <c r="F66" s="136">
        <v>3222395</v>
      </c>
      <c r="G66" s="274">
        <f>IF(ISBLANK(F66),"-",(F66/$D$50*$D$47*$B$68)*($B$57/$D$64))</f>
        <v>110.72191228710744</v>
      </c>
      <c r="H66" s="190">
        <f t="shared" si="0"/>
        <v>1.1072191228710744</v>
      </c>
    </row>
    <row r="67" spans="1:8" ht="27" customHeight="1" thickBot="1" x14ac:dyDescent="0.45">
      <c r="A67" s="123" t="s">
        <v>97</v>
      </c>
      <c r="B67" s="124">
        <v>1</v>
      </c>
      <c r="C67" s="350"/>
      <c r="D67" s="34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25</v>
      </c>
      <c r="C68" s="339" t="s">
        <v>99</v>
      </c>
      <c r="D68" s="342">
        <v>686.3</v>
      </c>
      <c r="E68" s="181">
        <v>1</v>
      </c>
      <c r="F68" s="182">
        <v>3099459</v>
      </c>
      <c r="G68" s="273">
        <f>IF(ISBLANK(F68),"-",(F68/$D$50*$D$47*$B$68)*($B$57/$D$68))</f>
        <v>107.31714863116622</v>
      </c>
      <c r="H68" s="185">
        <f>IF(ISBLANK(F68),"-",G68/$B$56)</f>
        <v>1.0731714863116621</v>
      </c>
    </row>
    <row r="69" spans="1:8" ht="27" customHeight="1" thickBot="1" x14ac:dyDescent="0.45">
      <c r="A69" s="171" t="s">
        <v>100</v>
      </c>
      <c r="B69" s="193">
        <f>(D47*B68)/B56*B57</f>
        <v>702.00649999999996</v>
      </c>
      <c r="C69" s="340"/>
      <c r="D69" s="343"/>
      <c r="E69" s="184">
        <v>2</v>
      </c>
      <c r="F69" s="136">
        <v>3131745</v>
      </c>
      <c r="G69" s="274">
        <f>IF(ISBLANK(F69),"-",(F69/$D$50*$D$47*$B$68)*($B$57/$D$68))</f>
        <v>108.4350345140593</v>
      </c>
      <c r="H69" s="185">
        <f t="shared" si="0"/>
        <v>1.0843503451405929</v>
      </c>
    </row>
    <row r="70" spans="1:8" ht="26.25" customHeight="1" x14ac:dyDescent="0.4">
      <c r="A70" s="345" t="s">
        <v>73</v>
      </c>
      <c r="B70" s="346"/>
      <c r="C70" s="340"/>
      <c r="D70" s="343"/>
      <c r="E70" s="184">
        <v>3</v>
      </c>
      <c r="F70" s="136">
        <v>3140889</v>
      </c>
      <c r="G70" s="274">
        <f>IF(ISBLANK(F70),"-",(F70/$D$50*$D$47*$B$68)*($B$57/$D$68))</f>
        <v>108.75164073697863</v>
      </c>
      <c r="H70" s="185">
        <f t="shared" si="0"/>
        <v>1.0875164073697863</v>
      </c>
    </row>
    <row r="71" spans="1:8" ht="27" customHeight="1" thickBot="1" x14ac:dyDescent="0.45">
      <c r="A71" s="347"/>
      <c r="B71" s="348"/>
      <c r="C71" s="341"/>
      <c r="D71" s="34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1.0874199503366133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1.1780083419322828E-2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26" t="str">
        <f>B20</f>
        <v>Artesunate</v>
      </c>
      <c r="D76" s="326"/>
      <c r="E76" s="204" t="s">
        <v>103</v>
      </c>
      <c r="F76" s="204"/>
      <c r="G76" s="205">
        <f>H72</f>
        <v>1.0874199503366133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49" t="str">
        <f>B26</f>
        <v>Artesunate</v>
      </c>
      <c r="C79" s="349"/>
    </row>
    <row r="80" spans="1:8" ht="26.25" customHeight="1" x14ac:dyDescent="0.4">
      <c r="A80" s="214" t="s">
        <v>43</v>
      </c>
      <c r="B80" s="349" t="str">
        <f>B27</f>
        <v>A15 2</v>
      </c>
      <c r="C80" s="349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28" t="s">
        <v>45</v>
      </c>
      <c r="D82" s="329"/>
      <c r="E82" s="329"/>
      <c r="F82" s="329"/>
      <c r="G82" s="330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31" t="s">
        <v>106</v>
      </c>
      <c r="D84" s="332"/>
      <c r="E84" s="332"/>
      <c r="F84" s="332"/>
      <c r="G84" s="332"/>
      <c r="H84" s="333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31" t="s">
        <v>107</v>
      </c>
      <c r="D85" s="332"/>
      <c r="E85" s="332"/>
      <c r="F85" s="332"/>
      <c r="G85" s="332"/>
      <c r="H85" s="333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34" t="s">
        <v>55</v>
      </c>
      <c r="G89" s="335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1136937</v>
      </c>
      <c r="E91" s="132">
        <f>IF(ISBLANK(D91),"-",$D$101/$D$98*D91)</f>
        <v>1098380.3354100345</v>
      </c>
      <c r="F91" s="281">
        <v>1158830</v>
      </c>
      <c r="G91" s="133">
        <f>IF(ISBLANK(F91),"-",$D$101/$F$98*F91)</f>
        <v>1097628.8496526098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1154747</v>
      </c>
      <c r="E92" s="137">
        <f>IF(ISBLANK(D92),"-",$D$101/$D$98*D92)</f>
        <v>1115586.3492644986</v>
      </c>
      <c r="F92" s="282">
        <v>1185578</v>
      </c>
      <c r="G92" s="138">
        <f>IF(ISBLANK(F92),"-",$D$101/$F$98*F92)</f>
        <v>1122964.2107241284</v>
      </c>
      <c r="I92" s="336">
        <f>ABS((F96/D96*D95)-F95)/D95</f>
        <v>1.7633430401350263E-3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1153128</v>
      </c>
      <c r="E93" s="137">
        <f>IF(ISBLANK(D93),"-",$D$101/$D$98*D93)</f>
        <v>1114022.2540129332</v>
      </c>
      <c r="F93" s="282">
        <v>1175216</v>
      </c>
      <c r="G93" s="138">
        <f>IF(ISBLANK(F93),"-",$D$101/$F$98*F93)</f>
        <v>1113149.4577922055</v>
      </c>
      <c r="I93" s="336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1148270.6666666667</v>
      </c>
      <c r="E95" s="147">
        <f>AVERAGE(E91:E94)</f>
        <v>1109329.6462291554</v>
      </c>
      <c r="F95" s="216">
        <f>AVERAGE(F91:F94)</f>
        <v>1173208</v>
      </c>
      <c r="G95" s="217">
        <f>AVERAGE(G91:G94)</f>
        <v>1111247.5060563146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26.06</v>
      </c>
      <c r="E96" s="204"/>
      <c r="F96" s="151">
        <v>26.58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26.06</v>
      </c>
      <c r="E97" s="222"/>
      <c r="F97" s="153">
        <f>F96*$B$87</f>
        <v>26.58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25.877579999999998</v>
      </c>
      <c r="E98" s="200"/>
      <c r="F98" s="156">
        <f>F97*$B$83/100</f>
        <v>26.393939999999997</v>
      </c>
    </row>
    <row r="99" spans="1:10" ht="19.5" customHeight="1" thickBot="1" x14ac:dyDescent="0.35">
      <c r="A99" s="322" t="s">
        <v>73</v>
      </c>
      <c r="B99" s="337"/>
      <c r="C99" s="220" t="s">
        <v>111</v>
      </c>
      <c r="D99" s="224">
        <f>D98/$B$98</f>
        <v>5.1755159999999995E-2</v>
      </c>
      <c r="E99" s="200"/>
      <c r="F99" s="160">
        <f>F98/$B$98</f>
        <v>5.2787879999999995E-2</v>
      </c>
      <c r="H99" s="149"/>
    </row>
    <row r="100" spans="1:10" ht="19.5" customHeight="1" thickBot="1" x14ac:dyDescent="0.35">
      <c r="A100" s="324"/>
      <c r="B100" s="338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1110288.5761427351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9.1224513181999041E-3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1070826</v>
      </c>
      <c r="E108" s="277">
        <f t="shared" ref="E108:E113" si="1">IF(ISBLANK(D108),"-",D108/$D$103*$D$100*$B$116)</f>
        <v>96.445736992104131</v>
      </c>
      <c r="F108" s="243">
        <f>IF(ISBLANK(D108), "-", E108/$B$56)</f>
        <v>0.96445736992104125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1049816</v>
      </c>
      <c r="E109" s="278">
        <f t="shared" si="1"/>
        <v>94.553436156857231</v>
      </c>
      <c r="F109" s="244">
        <f t="shared" ref="F109:F113" si="2">IF(ISBLANK(D109), "-", E109/$B$56)</f>
        <v>0.94553436156857229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1093229</v>
      </c>
      <c r="E110" s="278">
        <f t="shared" si="1"/>
        <v>98.463500705194875</v>
      </c>
      <c r="F110" s="244">
        <f>IF(ISBLANK(D110), "-", E110/$B$56)</f>
        <v>0.98463500705194873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1085073</v>
      </c>
      <c r="E111" s="278">
        <f t="shared" si="1"/>
        <v>97.728916906419343</v>
      </c>
      <c r="F111" s="244">
        <f t="shared" si="2"/>
        <v>0.97728916906419339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1111575</v>
      </c>
      <c r="E112" s="278">
        <f t="shared" si="1"/>
        <v>100.11586391906636</v>
      </c>
      <c r="F112" s="244">
        <f>IF(ISBLANK(D112), "-", E112/$B$56)</f>
        <v>1.0011586391906635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1100661</v>
      </c>
      <c r="E113" s="279">
        <f t="shared" si="1"/>
        <v>99.132876231494478</v>
      </c>
      <c r="F113" s="247">
        <f t="shared" si="2"/>
        <v>0.99132876231494482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0.97740055151856053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2000</v>
      </c>
      <c r="C116" s="252"/>
      <c r="D116" s="253"/>
      <c r="E116" s="214" t="s">
        <v>79</v>
      </c>
      <c r="F116" s="254">
        <f>STDEV(F108:F113)/F115</f>
        <v>2.0430552691863783E-2</v>
      </c>
      <c r="I116" s="204"/>
    </row>
    <row r="117" spans="1:10" ht="27" customHeight="1" thickBot="1" x14ac:dyDescent="0.45">
      <c r="A117" s="322" t="s">
        <v>73</v>
      </c>
      <c r="B117" s="323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24"/>
      <c r="B118" s="325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26" t="str">
        <f>B20</f>
        <v>Artesunate</v>
      </c>
      <c r="D120" s="326"/>
      <c r="E120" s="204" t="s">
        <v>119</v>
      </c>
      <c r="F120" s="204"/>
      <c r="G120" s="205">
        <f>F115</f>
        <v>0.97740055151856053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27" t="s">
        <v>21</v>
      </c>
      <c r="C122" s="327"/>
      <c r="E122" s="287" t="s">
        <v>22</v>
      </c>
      <c r="F122" s="261"/>
      <c r="G122" s="327" t="s">
        <v>23</v>
      </c>
      <c r="H122" s="327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2015-12-10T10:33:22Z</cp:lastPrinted>
  <dcterms:created xsi:type="dcterms:W3CDTF">2005-07-05T10:19:27Z</dcterms:created>
  <dcterms:modified xsi:type="dcterms:W3CDTF">2015-12-10T10:36:27Z</dcterms:modified>
</cp:coreProperties>
</file>