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42" i="4" l="1"/>
  <c r="B21" i="4"/>
  <c r="B42" i="1"/>
  <c r="B21" i="1"/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<sst xmlns="http://schemas.openxmlformats.org/spreadsheetml/2006/main" count="435" uniqueCount="132">
  <si>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</si>
  <si>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</si>
  <si>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</si>
  <si>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</si>
  <si>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</si>
  <si>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</si>
  <si>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</si>
  <si>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</si>
  <si>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</si>
  <si>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</si>
  <si>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</si>
  <si>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</si>
  <si>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</si>
  <si>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</si>
  <si>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</si>
  <si>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</si>
  <si>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</si>
  <si>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</si>
  <si>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</si>
  <si>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</si>
  <si>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</si>
  <si>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</si>
  <si>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</si>
  <si>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</si>
  <si>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</si>
  <si>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</si>
  <si>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</si>
  <si>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</si>
  <si>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</si>
  <si>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</si>
  <si>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</si>
  <si>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</si>
  <si>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</si>
  <si>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</si>
  <si>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</si>
  <si>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</si>
  <si>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</si>
  <si>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</si>
  <si>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</si>
  <si>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</si>
  <si>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</si>
  <si>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</si>
  <si>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</si>
  <si>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</si>
  <si>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</si>
  <si>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</si>
  <si>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</si>
  <si>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</si>
  <si>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</si>
  <si>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</si>
  <si>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</si>
  <si>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</si>
  <si>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</si>
  <si>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</si>
  <si>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</si>
  <si>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</si>
  <si>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</si>
  <si>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</si>
  <si>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</si>
  <si>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</si>
  <si>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</si>
  <si>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</si>
  <si>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</si>
  <si>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</si>
  <si>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</si>
  <si>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</si>
  <si>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</si>
  <si>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</si>
  <si>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</si>
  <si>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</si>
  <si>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</si>
  <si>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</si>
  <si>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</si>
  <si>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</si>
  <si>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</si>
  <si>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</si>
  <si>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</si>
  <si>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</si>
  <si>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</si>
  <si>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</si>
  <si>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</si>
  <si>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</si>
  <si>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</si>
  <si>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</si>
  <si>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</si>
  <si>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</si>
  <si>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</si>
  <si>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</si>
  <si>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</si>
  <si>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</si>
  <si>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</si>
  <si>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</si>
  <si>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</si>
  <si>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</si>
  <si>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</si>
  <si>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</si>
  <si>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</si>
  <si>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</si>
  <si>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</si>
  <si>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</si>
  <si>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</si>
  <si>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</si>
  <si>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</si>
  <si>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</si>
  <si>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</si>
  <si>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</si>
  <si>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</si>
  <si>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</si>
  <si>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</si>
  <si>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</si>
  <si>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</si>
  <si>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</si>
  <si>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</si>
  <si>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</si>
  <si>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</si>
  <si>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</si>
  <si>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</si>
  <si>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</si>
  <si>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</si>
  <si>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</si>
  <si>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</si>
  <si>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</si>
  <si>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</si>
  <si>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</si>
  <si>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</si>
  <si>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</si>
  <si>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</si>
  <si>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</si>
  <si>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</si>
  <si>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</si>
  <si>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100mg and Amodiaquine 270mg</t>
  </si>
  <si>
    <t>NDQD201508216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</si>
</sst>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80" zoomScaleNormal="100" zoomScaleSheetLayoutView="80" workbookViewId="0">
      <selection activeCell="D41" sqref="D41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11.8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B20/25*4/10</f>
        <v>0.18880000000000002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28822227</v>
      </c>
      <c r="C24" s="18">
        <v>2537.5</v>
      </c>
      <c r="D24" s="19">
        <v>2</v>
      </c>
      <c r="E24" s="20">
        <v>2</v>
      </c>
    </row>
    <row r="25" spans="1:5" ht="16.5" customHeight="1" x14ac:dyDescent="0.3">
      <c r="A25" s="17">
        <v>2</v>
      </c>
      <c r="B25" s="18">
        <v>28986515</v>
      </c>
      <c r="C25" s="18">
        <v>2549.6999999999998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28910724</v>
      </c>
      <c r="C26" s="18">
        <v>2573.6999999999998</v>
      </c>
      <c r="D26" s="19">
        <v>1.9</v>
      </c>
      <c r="E26" s="19">
        <v>2</v>
      </c>
    </row>
    <row r="27" spans="1:5" ht="16.5" customHeight="1" x14ac:dyDescent="0.3">
      <c r="A27" s="17">
        <v>4</v>
      </c>
      <c r="B27" s="18">
        <v>28919077</v>
      </c>
      <c r="C27" s="18">
        <v>2590.1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28943023</v>
      </c>
      <c r="C28" s="18">
        <v>2576.1999999999998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28875805</v>
      </c>
      <c r="C29" s="21">
        <v>2574.1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28909561.833333332</v>
      </c>
      <c r="C30" s="25">
        <f>AVERAGE(C24:C29)</f>
        <v>2566.8833333333337</v>
      </c>
      <c r="D30" s="26">
        <f>AVERAGE(D24:D29)</f>
        <v>1.9166666666666667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1.9506310361270915E-3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11.8</v>
      </c>
      <c r="C41" s="71"/>
      <c r="D41" s="71"/>
      <c r="E41" s="71"/>
    </row>
    <row r="42" spans="1:5" ht="16.5" customHeight="1" x14ac:dyDescent="0.3">
      <c r="A42" s="8" t="s">
        <v>7</v>
      </c>
      <c r="B42" s="13">
        <f>B20/25*3/25</f>
        <v>5.6640000000000003E-2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28822227</v>
      </c>
      <c r="C45" s="18">
        <v>2537.5</v>
      </c>
      <c r="D45" s="19">
        <v>2</v>
      </c>
      <c r="E45" s="20">
        <v>2</v>
      </c>
    </row>
    <row r="46" spans="1:5" ht="16.5" customHeight="1" x14ac:dyDescent="0.3">
      <c r="A46" s="17">
        <v>2</v>
      </c>
      <c r="B46" s="18">
        <v>28986515</v>
      </c>
      <c r="C46" s="18">
        <v>2549.6999999999998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28910724</v>
      </c>
      <c r="C47" s="18">
        <v>2573.6999999999998</v>
      </c>
      <c r="D47" s="19">
        <v>1.9</v>
      </c>
      <c r="E47" s="19">
        <v>2</v>
      </c>
    </row>
    <row r="48" spans="1:5" ht="16.5" customHeight="1" x14ac:dyDescent="0.3">
      <c r="A48" s="17">
        <v>4</v>
      </c>
      <c r="B48" s="18">
        <v>28919077</v>
      </c>
      <c r="C48" s="18">
        <v>2590.1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28943023</v>
      </c>
      <c r="C49" s="18">
        <v>2576.1999999999998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28875805</v>
      </c>
      <c r="C50" s="21">
        <v>2574.1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28909561.833333332</v>
      </c>
      <c r="C51" s="25">
        <f>AVERAGE(C45:C50)</f>
        <v>2566.8833333333337</v>
      </c>
      <c r="D51" s="26">
        <f>AVERAGE(D45:D50)</f>
        <v>1.9166666666666667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1.9506310361270915E-3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8" zoomScale="90" zoomScaleNormal="100" zoomScaleSheetLayoutView="90" workbookViewId="0">
      <selection activeCell="B42" sqref="B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21.88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B20/5</f>
        <v>4.3759999999999994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3175409</v>
      </c>
      <c r="C24" s="18">
        <v>8053.2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3172253</v>
      </c>
      <c r="C25" s="18">
        <v>8024.7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3177874</v>
      </c>
      <c r="C26" s="18">
        <v>8058.9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3179284</v>
      </c>
      <c r="C27" s="18">
        <v>8077.6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3178130</v>
      </c>
      <c r="C28" s="18">
        <v>8061.1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3183344</v>
      </c>
      <c r="C29" s="21">
        <v>8100.5</v>
      </c>
      <c r="D29" s="22">
        <v>1</v>
      </c>
      <c r="E29" s="22">
        <v>8.5</v>
      </c>
    </row>
    <row r="30" spans="1:6" ht="16.5" customHeight="1" x14ac:dyDescent="0.3">
      <c r="A30" s="23" t="s">
        <v>13</v>
      </c>
      <c r="B30" s="24">
        <f>AVERAGE(B24:B29)</f>
        <v>3177715.6666666665</v>
      </c>
      <c r="C30" s="25">
        <f>AVERAGE(C24:C29)</f>
        <v>8062.666666666667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14</v>
      </c>
      <c r="B31" s="28">
        <f>(STDEV(B24:B29)/B30)</f>
        <v>1.1732209814323275E-3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21.88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B21/100</f>
        <v>4.3759999999999993E-2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3175409</v>
      </c>
      <c r="C45" s="18">
        <v>8053.2</v>
      </c>
      <c r="D45" s="19">
        <v>1</v>
      </c>
      <c r="E45" s="20">
        <v>8.5</v>
      </c>
    </row>
    <row r="46" spans="1:6" ht="16.5" customHeight="1" x14ac:dyDescent="0.3">
      <c r="A46" s="17">
        <v>2</v>
      </c>
      <c r="B46" s="18">
        <v>3172253</v>
      </c>
      <c r="C46" s="18">
        <v>8024.7</v>
      </c>
      <c r="D46" s="19">
        <v>1</v>
      </c>
      <c r="E46" s="19">
        <v>8.5</v>
      </c>
    </row>
    <row r="47" spans="1:6" ht="16.5" customHeight="1" x14ac:dyDescent="0.3">
      <c r="A47" s="17">
        <v>3</v>
      </c>
      <c r="B47" s="18">
        <v>3177874</v>
      </c>
      <c r="C47" s="18">
        <v>8058.9</v>
      </c>
      <c r="D47" s="19">
        <v>1</v>
      </c>
      <c r="E47" s="19">
        <v>8.5</v>
      </c>
    </row>
    <row r="48" spans="1:6" ht="16.5" customHeight="1" x14ac:dyDescent="0.3">
      <c r="A48" s="17">
        <v>4</v>
      </c>
      <c r="B48" s="18">
        <v>3179284</v>
      </c>
      <c r="C48" s="18">
        <v>8077.6</v>
      </c>
      <c r="D48" s="19">
        <v>1</v>
      </c>
      <c r="E48" s="19">
        <v>8.5</v>
      </c>
    </row>
    <row r="49" spans="1:7" ht="16.5" customHeight="1" x14ac:dyDescent="0.3">
      <c r="A49" s="17">
        <v>5</v>
      </c>
      <c r="B49" s="18">
        <v>3178130</v>
      </c>
      <c r="C49" s="18">
        <v>8061.1</v>
      </c>
      <c r="D49" s="19">
        <v>1</v>
      </c>
      <c r="E49" s="19">
        <v>8.5</v>
      </c>
    </row>
    <row r="50" spans="1:7" ht="16.5" customHeight="1" x14ac:dyDescent="0.3">
      <c r="A50" s="17">
        <v>6</v>
      </c>
      <c r="B50" s="21">
        <v>3183344</v>
      </c>
      <c r="C50" s="21">
        <v>8100.5</v>
      </c>
      <c r="D50" s="22">
        <v>1</v>
      </c>
      <c r="E50" s="22">
        <v>8.5</v>
      </c>
    </row>
    <row r="51" spans="1:7" ht="16.5" customHeight="1" x14ac:dyDescent="0.3">
      <c r="A51" s="23" t="s">
        <v>13</v>
      </c>
      <c r="B51" s="24">
        <f>AVERAGE(B45:B50)</f>
        <v>3177715.6666666665</v>
      </c>
      <c r="C51" s="25">
        <f>AVERAGE(C45:C50)</f>
        <v>8062.666666666667</v>
      </c>
      <c r="D51" s="26">
        <f>AVERAGE(D45:D50)</f>
        <v>1</v>
      </c>
      <c r="E51" s="26">
        <f>AVERAGE(E45:E50)</f>
        <v>8.5</v>
      </c>
    </row>
    <row r="52" spans="1:7" ht="16.5" customHeight="1" x14ac:dyDescent="0.3">
      <c r="A52" s="27" t="s">
        <v>14</v>
      </c>
      <c r="B52" s="28">
        <f>(STDEV(B45:B50)/B51)</f>
        <v>1.1732209814323275E-3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130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712.1</v>
      </c>
      <c r="D24" s="86">
        <f t="shared" ref="D24:D43" si="0">(C24-$C$46)/$C$46</f>
        <v>9.2935512080768012E-3</v>
      </c>
      <c r="E24" s="53"/>
    </row>
    <row r="25" spans="1:5" ht="15.75" customHeight="1" x14ac:dyDescent="0.3">
      <c r="C25" s="94">
        <v>707.58</v>
      </c>
      <c r="D25" s="87">
        <f t="shared" si="0"/>
        <v>2.8871379915896673E-3</v>
      </c>
      <c r="E25" s="53"/>
    </row>
    <row r="26" spans="1:5" ht="15.75" customHeight="1" x14ac:dyDescent="0.3">
      <c r="C26" s="94">
        <v>697.36</v>
      </c>
      <c r="D26" s="87">
        <f t="shared" si="0"/>
        <v>-1.159815914834373E-2</v>
      </c>
      <c r="E26" s="53"/>
    </row>
    <row r="27" spans="1:5" ht="15.75" customHeight="1" x14ac:dyDescent="0.3">
      <c r="C27" s="94">
        <v>705.69</v>
      </c>
      <c r="D27" s="87">
        <f t="shared" si="0"/>
        <v>2.0835016434173667E-4</v>
      </c>
      <c r="E27" s="53"/>
    </row>
    <row r="28" spans="1:5" ht="15.75" customHeight="1" x14ac:dyDescent="0.3">
      <c r="C28" s="94">
        <v>703.61</v>
      </c>
      <c r="D28" s="87">
        <f t="shared" si="0"/>
        <v>-2.7397337936878111E-3</v>
      </c>
      <c r="E28" s="53"/>
    </row>
    <row r="29" spans="1:5" ht="15.75" customHeight="1" x14ac:dyDescent="0.3">
      <c r="C29" s="94">
        <v>711.86</v>
      </c>
      <c r="D29" s="87">
        <f t="shared" si="0"/>
        <v>8.9533876744580018E-3</v>
      </c>
      <c r="E29" s="53"/>
    </row>
    <row r="30" spans="1:5" ht="15.75" customHeight="1" x14ac:dyDescent="0.3">
      <c r="C30" s="94">
        <v>701.07</v>
      </c>
      <c r="D30" s="87">
        <f t="shared" si="0"/>
        <v>-6.3397978578199248E-3</v>
      </c>
      <c r="E30" s="53"/>
    </row>
    <row r="31" spans="1:5" ht="15.75" customHeight="1" x14ac:dyDescent="0.3">
      <c r="C31" s="94">
        <v>712.09</v>
      </c>
      <c r="D31" s="87">
        <f t="shared" si="0"/>
        <v>9.2793777275093654E-3</v>
      </c>
      <c r="E31" s="53"/>
    </row>
    <row r="32" spans="1:5" ht="15.75" customHeight="1" x14ac:dyDescent="0.3">
      <c r="C32" s="94">
        <v>698.4</v>
      </c>
      <c r="D32" s="87">
        <f t="shared" si="0"/>
        <v>-1.0124117169329037E-2</v>
      </c>
      <c r="E32" s="53"/>
    </row>
    <row r="33" spans="1:7" ht="15.75" customHeight="1" x14ac:dyDescent="0.3">
      <c r="C33" s="94">
        <v>718.52</v>
      </c>
      <c r="D33" s="87">
        <f t="shared" si="0"/>
        <v>1.8392925732379304E-2</v>
      </c>
      <c r="E33" s="53"/>
    </row>
    <row r="34" spans="1:7" ht="15.75" customHeight="1" x14ac:dyDescent="0.3">
      <c r="C34" s="94">
        <v>705.94</v>
      </c>
      <c r="D34" s="87">
        <f t="shared" si="0"/>
        <v>5.6268717852797341E-4</v>
      </c>
      <c r="E34" s="53"/>
    </row>
    <row r="35" spans="1:7" ht="15.75" customHeight="1" x14ac:dyDescent="0.3">
      <c r="C35" s="94">
        <v>702.8</v>
      </c>
      <c r="D35" s="87">
        <f t="shared" si="0"/>
        <v>-3.887785719651302E-3</v>
      </c>
      <c r="E35" s="53"/>
    </row>
    <row r="36" spans="1:7" ht="15.75" customHeight="1" x14ac:dyDescent="0.3">
      <c r="C36" s="94">
        <v>706.81</v>
      </c>
      <c r="D36" s="87">
        <f t="shared" si="0"/>
        <v>1.7957799878959226E-3</v>
      </c>
      <c r="E36" s="53"/>
    </row>
    <row r="37" spans="1:7" ht="15.75" customHeight="1" x14ac:dyDescent="0.3">
      <c r="C37" s="94">
        <v>714.15</v>
      </c>
      <c r="D37" s="87">
        <f t="shared" si="0"/>
        <v>1.2199114724403879E-2</v>
      </c>
      <c r="E37" s="53"/>
    </row>
    <row r="38" spans="1:7" ht="15.75" customHeight="1" x14ac:dyDescent="0.3">
      <c r="C38" s="94">
        <v>709.7</v>
      </c>
      <c r="D38" s="87">
        <f t="shared" si="0"/>
        <v>5.8919158718889614E-3</v>
      </c>
      <c r="E38" s="53"/>
    </row>
    <row r="39" spans="1:7" ht="15.75" customHeight="1" x14ac:dyDescent="0.3">
      <c r="C39" s="94">
        <v>700.51</v>
      </c>
      <c r="D39" s="87">
        <f t="shared" si="0"/>
        <v>-7.1335127695971792E-3</v>
      </c>
      <c r="E39" s="53"/>
    </row>
    <row r="40" spans="1:7" ht="15.75" customHeight="1" x14ac:dyDescent="0.3">
      <c r="C40" s="94">
        <v>709.36</v>
      </c>
      <c r="D40" s="87">
        <f t="shared" si="0"/>
        <v>5.4100175325956339E-3</v>
      </c>
      <c r="E40" s="53"/>
    </row>
    <row r="41" spans="1:7" ht="15.75" customHeight="1" x14ac:dyDescent="0.3">
      <c r="C41" s="94">
        <v>693.97</v>
      </c>
      <c r="D41" s="87">
        <f t="shared" si="0"/>
        <v>-1.640296906070908E-2</v>
      </c>
      <c r="E41" s="53"/>
    </row>
    <row r="42" spans="1:7" ht="15.75" customHeight="1" x14ac:dyDescent="0.3">
      <c r="C42" s="94">
        <v>695.42</v>
      </c>
      <c r="D42" s="87">
        <f t="shared" si="0"/>
        <v>-1.4347814378429004E-2</v>
      </c>
      <c r="E42" s="53"/>
    </row>
    <row r="43" spans="1:7" ht="16.5" customHeight="1" thickBot="1" x14ac:dyDescent="0.35">
      <c r="C43" s="95">
        <v>703.92</v>
      </c>
      <c r="D43" s="88">
        <f t="shared" si="0"/>
        <v>-2.3003558960969549E-3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14110.859999999999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705.54299999999989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705.54299999999989</v>
      </c>
      <c r="C49" s="92">
        <f>-IF(C46&lt;=80,10%,IF(C46&lt;250,7.5%,5%))</f>
        <v>-0.05</v>
      </c>
      <c r="D49" s="80">
        <f>IF(C46&lt;=80,C46*0.9,IF(C46&lt;250,C46*0.925,C46*0.95))</f>
        <v>670.26584999999989</v>
      </c>
    </row>
    <row r="50" spans="1:6" ht="17.25" customHeight="1" x14ac:dyDescent="0.3">
      <c r="B50" s="301"/>
      <c r="C50" s="93">
        <f>IF(C46&lt;=80, 10%, IF(C46&lt;250, 7.5%, 5%))</f>
        <v>0.05</v>
      </c>
      <c r="D50" s="80">
        <f>IF(C46&lt;=80, C46*1.1, IF(C46&lt;250, C46*1.075, C46*1.05))</f>
        <v>740.8201499999999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7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activeCell="E102" sqref="E10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NDQD201508216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128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100mg and Amodiaquine 270mg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125</v>
      </c>
      <c r="C26" s="308"/>
    </row>
    <row r="27" spans="1:14" ht="26.25" customHeight="1" x14ac:dyDescent="0.4">
      <c r="A27" s="108" t="s">
        <v>43</v>
      </c>
      <c r="B27" s="314" t="s">
        <v>126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28263753</v>
      </c>
      <c r="E38" s="132">
        <f>IF(ISBLANK(D38),"-",$D$48/$D$45*D38)</f>
        <v>36119627.064291582</v>
      </c>
      <c r="F38" s="131">
        <v>31331416</v>
      </c>
      <c r="G38" s="133">
        <f>IF(ISBLANK(F38),"-",$D$48/$F$45*F38)</f>
        <v>36011534.171574496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28348561</v>
      </c>
      <c r="E39" s="137">
        <f>IF(ISBLANK(D39),"-",$D$48/$D$45*D39)</f>
        <v>36228007.33962404</v>
      </c>
      <c r="F39" s="136">
        <v>31286024</v>
      </c>
      <c r="G39" s="138">
        <f>IF(ISBLANK(F39),"-",$D$48/$F$45*F39)</f>
        <v>35959361.75909508</v>
      </c>
      <c r="I39" s="324">
        <f>ABS((F43/D43*D42)-F42)/D42</f>
        <v>6.0930626725696291E-3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28310763</v>
      </c>
      <c r="E40" s="137">
        <f>IF(ISBLANK(D40),"-",$D$48/$D$45*D40)</f>
        <v>36179703.433777697</v>
      </c>
      <c r="F40" s="136">
        <v>31288065</v>
      </c>
      <c r="G40" s="138">
        <f>IF(ISBLANK(F40),"-",$D$48/$F$45*F40)</f>
        <v>35961707.632682286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28307692.333333332</v>
      </c>
      <c r="E42" s="147">
        <f>AVERAGE(E38:E41)</f>
        <v>36175779.279231101</v>
      </c>
      <c r="F42" s="146">
        <f>AVERAGE(F38:F41)</f>
        <v>31301835</v>
      </c>
      <c r="G42" s="148">
        <f>AVERAGE(G38:G41)</f>
        <v>35977534.521117292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11.8</v>
      </c>
      <c r="E43" s="139"/>
      <c r="F43" s="151">
        <v>13.12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9.7910912101494922</v>
      </c>
      <c r="E44" s="154"/>
      <c r="F44" s="153">
        <f>F43*$B$34</f>
        <v>10.886365820098415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9.7813001189393436</v>
      </c>
      <c r="E45" s="157"/>
      <c r="F45" s="156">
        <f>F44*$B$30/100</f>
        <v>10.875479454278318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0.15650080190302951</v>
      </c>
      <c r="E46" s="159"/>
      <c r="F46" s="160">
        <f>F45/$B$45</f>
        <v>0.1740076712684531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36076656.900174193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3.1987114382929713E-3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270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705.54299999999989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706.17</v>
      </c>
      <c r="E60" s="181">
        <v>1</v>
      </c>
      <c r="F60" s="182">
        <v>39160970</v>
      </c>
      <c r="G60" s="271">
        <f>IF(ISBLANK(F60),"-",(F60/$D$50*$D$47*$B$68)*($B$57/$D$60))</f>
        <v>271.13238032050612</v>
      </c>
      <c r="H60" s="183">
        <f>IF(ISBLANK(F60),"-",G60/$B$56)</f>
        <v>1.0041940011870596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30"/>
      <c r="D61" s="333"/>
      <c r="E61" s="184">
        <v>2</v>
      </c>
      <c r="F61" s="136">
        <v>39761947</v>
      </c>
      <c r="G61" s="272">
        <f>IF(ISBLANK(F61),"-",(F61/$D$50*$D$47*$B$68)*($B$57/$D$60))</f>
        <v>275.29326613431192</v>
      </c>
      <c r="H61" s="185">
        <f t="shared" ref="H61:H71" si="0">IF(ISBLANK(F61),"-",G61/$B$56)</f>
        <v>1.0196046893863404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39751473</v>
      </c>
      <c r="G62" s="272">
        <f>IF(ISBLANK(F62),"-",(F62/$D$50*$D$47*$B$68)*($B$57/$D$60))</f>
        <v>275.22074901965726</v>
      </c>
      <c r="H62" s="185">
        <f t="shared" si="0"/>
        <v>1.0193361074802121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704.13</v>
      </c>
      <c r="E64" s="181">
        <v>1</v>
      </c>
      <c r="F64" s="182">
        <v>38993986</v>
      </c>
      <c r="G64" s="273">
        <f>IF(ISBLANK(F64),"-",(F64/$D$50*$D$47*$B$68)*($B$57/$D$64))</f>
        <v>270.75843374552187</v>
      </c>
      <c r="H64" s="189">
        <f>IF(ISBLANK(F64),"-",G64/$B$56)</f>
        <v>1.0028090138723031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39088114</v>
      </c>
      <c r="G65" s="274">
        <f>IF(ISBLANK(F65),"-",(F65/$D$50*$D$47*$B$68)*($B$57/$D$64))</f>
        <v>271.4120204255704</v>
      </c>
      <c r="H65" s="190">
        <f t="shared" si="0"/>
        <v>1.0052297052798904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39280768</v>
      </c>
      <c r="G66" s="274">
        <f>IF(ISBLANK(F66),"-",(F66/$D$50*$D$47*$B$68)*($B$57/$D$64))</f>
        <v>272.7497317150706</v>
      </c>
      <c r="H66" s="190">
        <f t="shared" si="0"/>
        <v>1.0101841915372984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29" t="s">
        <v>99</v>
      </c>
      <c r="D68" s="332">
        <v>700.86</v>
      </c>
      <c r="E68" s="181">
        <v>1</v>
      </c>
      <c r="F68" s="182">
        <v>39113415</v>
      </c>
      <c r="G68" s="273">
        <f>IF(ISBLANK(F68),"-",(F68/$D$50*$D$47*$B$68)*($B$57/$D$68))</f>
        <v>272.85484607838845</v>
      </c>
      <c r="H68" s="185">
        <f>IF(ISBLANK(F68),"-",G68/$B$56)</f>
        <v>1.0105735039940313</v>
      </c>
    </row>
    <row r="69" spans="1:8" ht="27" customHeight="1" x14ac:dyDescent="0.4">
      <c r="A69" s="171" t="s">
        <v>100</v>
      </c>
      <c r="B69" s="193">
        <f>(D47*B68)/B56*B57</f>
        <v>653.28055555555545</v>
      </c>
      <c r="C69" s="330"/>
      <c r="D69" s="333"/>
      <c r="E69" s="184">
        <v>2</v>
      </c>
      <c r="F69" s="136">
        <v>38993049</v>
      </c>
      <c r="G69" s="274">
        <f>IF(ISBLANK(F69),"-",(F69/$D$50*$D$47*$B$68)*($B$57/$D$68))</f>
        <v>272.01517389934008</v>
      </c>
      <c r="H69" s="185">
        <f t="shared" si="0"/>
        <v>1.0074636070345928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39032401</v>
      </c>
      <c r="G70" s="274">
        <f>IF(ISBLANK(F70),"-",(F70/$D$50*$D$47*$B$68)*($B$57/$D$68))</f>
        <v>272.28969311232311</v>
      </c>
      <c r="H70" s="185">
        <f t="shared" si="0"/>
        <v>1.008480344860456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1.0097639071813538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6.0259026756562858E-3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1.0097639071813538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17041876</v>
      </c>
      <c r="E91" s="132">
        <f>IF(ISBLANK(D91),"-",$D$101/$D$98*D91)</f>
        <v>27223304.597760834</v>
      </c>
      <c r="F91" s="281">
        <v>18825247</v>
      </c>
      <c r="G91" s="133">
        <f>IF(ISBLANK(F91),"-",$D$101/$F$98*F91)</f>
        <v>27046576.255475905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16927886</v>
      </c>
      <c r="E92" s="137">
        <f>IF(ISBLANK(D92),"-",$D$101/$D$98*D92)</f>
        <v>27041212.879038155</v>
      </c>
      <c r="F92" s="282">
        <v>18918178</v>
      </c>
      <c r="G92" s="138">
        <f>IF(ISBLANK(F92),"-",$D$101/$F$98*F92)</f>
        <v>27180091.920794804</v>
      </c>
      <c r="I92" s="324">
        <f>ABS((F96/D96*D95)-F95)/D95</f>
        <v>1.8341259748005396E-3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17078749</v>
      </c>
      <c r="E93" s="137">
        <f>IF(ISBLANK(D93),"-",$D$101/$D$98*D93)</f>
        <v>27282206.851857346</v>
      </c>
      <c r="F93" s="282">
        <v>18921968</v>
      </c>
      <c r="G93" s="138">
        <f>IF(ISBLANK(F93),"-",$D$101/$F$98*F93)</f>
        <v>27185537.083028704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17016170.333333332</v>
      </c>
      <c r="E95" s="147">
        <f>AVERAGE(E91:E94)</f>
        <v>27182241.442885444</v>
      </c>
      <c r="F95" s="216">
        <f>AVERAGE(F91:F94)</f>
        <v>18888464.333333332</v>
      </c>
      <c r="G95" s="217">
        <f>AVERAGE(G91:G94)</f>
        <v>27137401.753099803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11.8</v>
      </c>
      <c r="E96" s="139"/>
      <c r="F96" s="151">
        <v>13.12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9.7910912101494922</v>
      </c>
      <c r="E97" s="154"/>
      <c r="F97" s="153">
        <f>F96*$B$87</f>
        <v>10.886365820098415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9.7813001189393436</v>
      </c>
      <c r="E98" s="157"/>
      <c r="F98" s="156">
        <f>F97*$B$83/100</f>
        <v>10.875479454278318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4.6950240570908845E-2</v>
      </c>
      <c r="E99" s="157"/>
      <c r="F99" s="160">
        <f>F98/$B$98</f>
        <v>5.2202301380535929E-2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27159821.597992625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3.5687161058677993E-3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23341122</v>
      </c>
      <c r="E108" s="277">
        <f t="shared" ref="E108:E113" si="1">IF(ISBLANK(D108),"-",D108/$D$103*$D$100*$B$116)</f>
        <v>232.0377148745994</v>
      </c>
      <c r="F108" s="243">
        <f>IF(ISBLANK(D108), "-", E108/$B$56)</f>
        <v>0.85939894397999783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23334193</v>
      </c>
      <c r="E109" s="278">
        <f t="shared" si="1"/>
        <v>231.96883261065486</v>
      </c>
      <c r="F109" s="244">
        <f t="shared" ref="F109:F113" si="2">IF(ISBLANK(D109), "-", E109/$B$56)</f>
        <v>0.85914382448390691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23321431</v>
      </c>
      <c r="E110" s="278">
        <f t="shared" si="1"/>
        <v>231.84196358879595</v>
      </c>
      <c r="F110" s="244">
        <f>IF(ISBLANK(D110), "-", E110/$B$56)</f>
        <v>0.8586739392177628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23263206</v>
      </c>
      <c r="E111" s="278">
        <f t="shared" si="1"/>
        <v>231.26313983094172</v>
      </c>
      <c r="F111" s="244">
        <f t="shared" si="2"/>
        <v>0.8565301475220064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23335115</v>
      </c>
      <c r="E112" s="278">
        <f t="shared" si="1"/>
        <v>231.9779983556912</v>
      </c>
      <c r="F112" s="244">
        <f>IF(ISBLANK(D112), "-", E112/$B$56)</f>
        <v>0.85917777168774523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23249942</v>
      </c>
      <c r="E113" s="279">
        <f t="shared" si="1"/>
        <v>231.13128034920399</v>
      </c>
      <c r="F113" s="247">
        <f t="shared" si="2"/>
        <v>0.85604177907112589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0.85816106766042421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1.7241579146532984E-3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0.85816106766042421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34" zoomScale="60" zoomScaleNormal="40" zoomScalePageLayoutView="50" workbookViewId="0">
      <selection activeCell="E98" sqref="E98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NDQD201508216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124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100mg and Amodiaquine 270mg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124</v>
      </c>
      <c r="C26" s="308"/>
    </row>
    <row r="27" spans="1:14" ht="26.25" customHeight="1" x14ac:dyDescent="0.4">
      <c r="A27" s="214" t="s">
        <v>43</v>
      </c>
      <c r="B27" s="314" t="s">
        <v>127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3182882</v>
      </c>
      <c r="E38" s="132">
        <f>IF(ISBLANK(D38),"-",$D$48/$D$45*D38)</f>
        <v>2929907.8927262323</v>
      </c>
      <c r="F38" s="131">
        <v>3653857</v>
      </c>
      <c r="G38" s="133">
        <f>IF(ISBLANK(F38),"-",$D$48/$F$45*F38)</f>
        <v>2934301.6747214552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3186011</v>
      </c>
      <c r="E39" s="137">
        <f>IF(ISBLANK(D39),"-",$D$48/$D$45*D39)</f>
        <v>2932788.2011373956</v>
      </c>
      <c r="F39" s="136">
        <v>3670313</v>
      </c>
      <c r="G39" s="138">
        <f>IF(ISBLANK(F39),"-",$D$48/$F$45*F39)</f>
        <v>2947516.9889385183</v>
      </c>
      <c r="I39" s="324">
        <f>ABS((F43/D43*D42)-F42)/D42</f>
        <v>2.9479397627487371E-3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3193921</v>
      </c>
      <c r="E40" s="137">
        <f>IF(ISBLANK(D40),"-",$D$48/$D$45*D40)</f>
        <v>2940069.5177025287</v>
      </c>
      <c r="F40" s="136">
        <v>3665418</v>
      </c>
      <c r="G40" s="138">
        <f>IF(ISBLANK(F40),"-",$D$48/$F$45*F40)</f>
        <v>2943585.9629849135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3187604.6666666665</v>
      </c>
      <c r="E42" s="147">
        <f>AVERAGE(E38:E41)</f>
        <v>2934255.2038553855</v>
      </c>
      <c r="F42" s="146">
        <f>AVERAGE(F38:F41)</f>
        <v>3663196</v>
      </c>
      <c r="G42" s="148">
        <f>AVERAGE(G38:G41)</f>
        <v>2941801.5422149622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21.88</v>
      </c>
      <c r="E43" s="204"/>
      <c r="F43" s="151">
        <v>25.08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21.88</v>
      </c>
      <c r="E44" s="222"/>
      <c r="F44" s="153">
        <f>F43*$B$34</f>
        <v>25.08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21.726839999999996</v>
      </c>
      <c r="E45" s="200"/>
      <c r="F45" s="156">
        <f>F44*$B$30/100</f>
        <v>24.904440000000001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4.3453679999999988</v>
      </c>
      <c r="E46" s="159"/>
      <c r="F46" s="160">
        <f>F45/$B$45</f>
        <v>4.9808880000000002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2938028.3730351739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2.320360094796769E-3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270mg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705.54299999999989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693.49</v>
      </c>
      <c r="E60" s="181">
        <v>1</v>
      </c>
      <c r="F60" s="182">
        <v>3486104</v>
      </c>
      <c r="G60" s="271">
        <f>IF(ISBLANK(F60),"-",(F60/$D$50*$D$47*$B$68)*($B$57/$D$60))</f>
        <v>96.573422991802431</v>
      </c>
      <c r="H60" s="183">
        <f>IF(ISBLANK(F60),"-",G60/$B$56)</f>
        <v>0.96573422991802427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3489703</v>
      </c>
      <c r="G61" s="272">
        <f>IF(ISBLANK(F61),"-",(F61/$D$50*$D$47*$B$68)*($B$57/$D$60))</f>
        <v>96.673123904152561</v>
      </c>
      <c r="H61" s="185">
        <f t="shared" ref="H61:H71" si="0">IF(ISBLANK(F61),"-",G61/$B$56)</f>
        <v>0.96673123904152558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3486947</v>
      </c>
      <c r="G62" s="272">
        <f>IF(ISBLANK(F62),"-",(F62/$D$50*$D$47*$B$68)*($B$57/$D$60))</f>
        <v>96.596776109088111</v>
      </c>
      <c r="H62" s="185">
        <f t="shared" si="0"/>
        <v>0.96596776109088112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709.54</v>
      </c>
      <c r="E64" s="181">
        <v>1</v>
      </c>
      <c r="F64" s="182">
        <v>3602366</v>
      </c>
      <c r="G64" s="273">
        <f>IF(ISBLANK(F64),"-",(F64/$D$50*$D$47*$B$68)*($B$57/$D$64))</f>
        <v>97.536785876672496</v>
      </c>
      <c r="H64" s="189">
        <f>IF(ISBLANK(F64),"-",G64/$B$56)</f>
        <v>0.97536785876672494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3604546</v>
      </c>
      <c r="G65" s="274">
        <f>IF(ISBLANK(F65),"-",(F65/$D$50*$D$47*$B$68)*($B$57/$D$64))</f>
        <v>97.595811026590937</v>
      </c>
      <c r="H65" s="190">
        <f t="shared" si="0"/>
        <v>0.9759581102659094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3620448</v>
      </c>
      <c r="G66" s="274">
        <f>IF(ISBLANK(F66),"-",(F66/$D$50*$D$47*$B$68)*($B$57/$D$64))</f>
        <v>98.026369711913546</v>
      </c>
      <c r="H66" s="190">
        <f t="shared" si="0"/>
        <v>0.98026369711913541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20</v>
      </c>
      <c r="C68" s="329" t="s">
        <v>99</v>
      </c>
      <c r="D68" s="332">
        <v>718.96</v>
      </c>
      <c r="E68" s="181">
        <v>1</v>
      </c>
      <c r="F68" s="182">
        <v>3719401</v>
      </c>
      <c r="G68" s="273">
        <f>IF(ISBLANK(F68),"-",(F68/$D$50*$D$47*$B$68)*($B$57/$D$68))</f>
        <v>99.386126281453784</v>
      </c>
      <c r="H68" s="185">
        <f>IF(ISBLANK(F68),"-",G68/$B$56)</f>
        <v>0.99386126281453779</v>
      </c>
    </row>
    <row r="69" spans="1:8" ht="27" customHeight="1" thickBot="1" x14ac:dyDescent="0.45">
      <c r="A69" s="171" t="s">
        <v>100</v>
      </c>
      <c r="B69" s="193">
        <f>(D47*B68)/B56*B57</f>
        <v>564.43439999999998</v>
      </c>
      <c r="C69" s="330"/>
      <c r="D69" s="333"/>
      <c r="E69" s="184">
        <v>2</v>
      </c>
      <c r="F69" s="136">
        <v>3727205</v>
      </c>
      <c r="G69" s="274">
        <f>IF(ISBLANK(F69),"-",(F69/$D$50*$D$47*$B$68)*($B$57/$D$68))</f>
        <v>99.594656990968701</v>
      </c>
      <c r="H69" s="185">
        <f t="shared" si="0"/>
        <v>0.995946569909687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3727645</v>
      </c>
      <c r="G70" s="274">
        <f>IF(ISBLANK(F70),"-",(F70/$D$50*$D$47*$B$68)*($B$57/$D$68))</f>
        <v>99.606414232407261</v>
      </c>
      <c r="H70" s="185">
        <f t="shared" si="0"/>
        <v>0.99606414232407259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0.97954387458338887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1.3098329794592948E-2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0.97954387458338887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971735</v>
      </c>
      <c r="E91" s="132">
        <f>IF(ISBLANK(D91),"-",$D$101/$D$98*D91)</f>
        <v>1118127.3945037569</v>
      </c>
      <c r="F91" s="281">
        <v>1126249</v>
      </c>
      <c r="G91" s="133">
        <f>IF(ISBLANK(F91),"-",$D$101/$F$98*F91)</f>
        <v>1130570.4926511096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961876</v>
      </c>
      <c r="E92" s="137">
        <f>IF(ISBLANK(D92),"-",$D$101/$D$98*D92)</f>
        <v>1106783.130910892</v>
      </c>
      <c r="F92" s="282">
        <v>1112255</v>
      </c>
      <c r="G92" s="138">
        <f>IF(ISBLANK(F92),"-",$D$101/$F$98*F92)</f>
        <v>1116522.7967382523</v>
      </c>
      <c r="I92" s="324">
        <f>ABS((F96/D96*D95)-F95)/D95</f>
        <v>8.6013580444531841E-3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970867</v>
      </c>
      <c r="E93" s="137">
        <f>IF(ISBLANK(D93),"-",$D$101/$D$98*D93)</f>
        <v>1117128.6298421677</v>
      </c>
      <c r="F93" s="282">
        <v>1115743</v>
      </c>
      <c r="G93" s="138">
        <f>IF(ISBLANK(F93),"-",$D$101/$F$98*F93)</f>
        <v>1120024.1804272651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968159.33333333337</v>
      </c>
      <c r="E95" s="147">
        <f>AVERAGE(E91:E94)</f>
        <v>1114013.0517522723</v>
      </c>
      <c r="F95" s="216">
        <f>AVERAGE(F91:F94)</f>
        <v>1118082.3333333333</v>
      </c>
      <c r="G95" s="217">
        <f>AVERAGE(G91:G94)</f>
        <v>1122372.4899388757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21.88</v>
      </c>
      <c r="E96" s="204"/>
      <c r="F96" s="151">
        <v>25.08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21.88</v>
      </c>
      <c r="E97" s="222"/>
      <c r="F97" s="153">
        <f>F96*$B$87</f>
        <v>25.08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21.726839999999996</v>
      </c>
      <c r="E98" s="200"/>
      <c r="F98" s="156">
        <f>F97*$B$83/100</f>
        <v>24.904440000000001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4.3453679999999995E-2</v>
      </c>
      <c r="E99" s="200"/>
      <c r="F99" s="160">
        <f>F98/$B$98</f>
        <v>4.980888E-2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1118192.7708455739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6.8186201797960349E-3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1100717</v>
      </c>
      <c r="E108" s="277">
        <f t="shared" ref="E108:E113" si="1">IF(ISBLANK(D108),"-",D108/$D$103*$D$100*$B$116)</f>
        <v>98.437141492843082</v>
      </c>
      <c r="F108" s="243">
        <f>IF(ISBLANK(D108), "-", E108/$B$56)</f>
        <v>0.98437141492843083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1108828</v>
      </c>
      <c r="E109" s="278">
        <f t="shared" si="1"/>
        <v>99.162508371567085</v>
      </c>
      <c r="F109" s="244">
        <f t="shared" ref="F109:F113" si="2">IF(ISBLANK(D109), "-", E109/$B$56)</f>
        <v>0.99162508371567082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1084352</v>
      </c>
      <c r="E110" s="278">
        <f t="shared" si="1"/>
        <v>96.973619242773012</v>
      </c>
      <c r="F110" s="244">
        <f>IF(ISBLANK(D110), "-", E110/$B$56)</f>
        <v>0.96973619242773013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1097338</v>
      </c>
      <c r="E111" s="278">
        <f t="shared" si="1"/>
        <v>98.134957460885431</v>
      </c>
      <c r="F111" s="244">
        <f t="shared" si="2"/>
        <v>0.9813495746088543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1077861</v>
      </c>
      <c r="E112" s="278">
        <f t="shared" si="1"/>
        <v>96.393128993753464</v>
      </c>
      <c r="F112" s="244">
        <f>IF(ISBLANK(D112), "-", E112/$B$56)</f>
        <v>0.96393128993753463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1095082</v>
      </c>
      <c r="E113" s="279">
        <f t="shared" si="1"/>
        <v>97.93320333951921</v>
      </c>
      <c r="F113" s="247">
        <f t="shared" si="2"/>
        <v>0.97933203339519215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0.97839093150223544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1.0267099651995158E-2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0.97839093150223544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2016-01-04T05:31:09Z</cp:lastPrinted>
  <dcterms:created xsi:type="dcterms:W3CDTF">2005-07-05T10:19:27Z</dcterms:created>
  <dcterms:modified xsi:type="dcterms:W3CDTF">2016-01-28T14:48:15Z</dcterms:modified>
</cp:coreProperties>
</file>