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Artesunate!$A$1:$N$125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<sst xmlns="http://schemas.openxmlformats.org/spreadsheetml/2006/main" count="435" uniqueCount="132">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</sst>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38070459</v>
      </c>
      <c r="C24" s="18">
        <v>2874.3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37621485</v>
      </c>
      <c r="C25" s="18">
        <v>2793.2</v>
      </c>
      <c r="D25" s="19">
        <v>1.9</v>
      </c>
      <c r="E25" s="19">
        <v>2</v>
      </c>
    </row>
    <row r="26" spans="1:5" ht="16.5" customHeight="1" x14ac:dyDescent="0.3">
      <c r="A26" s="17"/>
      <c r="B26" s="18"/>
      <c r="C26" s="18"/>
      <c r="D26" s="19"/>
      <c r="E26" s="19"/>
    </row>
    <row r="27" spans="1:5" ht="16.5" customHeight="1" x14ac:dyDescent="0.3">
      <c r="A27" s="17">
        <v>4</v>
      </c>
      <c r="B27" s="18">
        <v>38405193</v>
      </c>
      <c r="C27" s="18">
        <v>2898.1</v>
      </c>
      <c r="D27" s="19">
        <v>1.8</v>
      </c>
      <c r="E27" s="19">
        <v>2.1</v>
      </c>
    </row>
    <row r="28" spans="1:5" ht="16.5" customHeight="1" x14ac:dyDescent="0.3">
      <c r="A28" s="17">
        <v>5</v>
      </c>
      <c r="B28" s="18">
        <v>38119622</v>
      </c>
      <c r="C28" s="18">
        <v>2885.7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37807466</v>
      </c>
      <c r="C29" s="21">
        <v>2866.6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38004845</v>
      </c>
      <c r="C30" s="25">
        <f>AVERAGE(C24:C29)</f>
        <v>2863.58</v>
      </c>
      <c r="D30" s="26">
        <f>AVERAGE(D24:D29)</f>
        <v>1.8199999999999998</v>
      </c>
      <c r="E30" s="26">
        <f>AVERAGE(E24:E29)</f>
        <v>2.02</v>
      </c>
    </row>
    <row r="31" spans="1:5" ht="16.5" customHeight="1" x14ac:dyDescent="0.3">
      <c r="A31" s="27" t="s">
        <v>14</v>
      </c>
      <c r="B31" s="28">
        <f>(STDEV(B24:B29)/B30)</f>
        <v>7.9339826731465394E-3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5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38070459</v>
      </c>
      <c r="C45" s="18">
        <v>2874.3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37621485</v>
      </c>
      <c r="C46" s="18">
        <v>2793.2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>
        <v>38405193</v>
      </c>
      <c r="C48" s="18">
        <v>2898.1</v>
      </c>
      <c r="D48" s="19">
        <v>1.8</v>
      </c>
      <c r="E48" s="19">
        <v>2.1</v>
      </c>
    </row>
    <row r="49" spans="1:7" ht="16.5" customHeight="1" x14ac:dyDescent="0.3">
      <c r="A49" s="17">
        <v>5</v>
      </c>
      <c r="B49" s="18">
        <v>38119622</v>
      </c>
      <c r="C49" s="18">
        <v>2885.7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37807466</v>
      </c>
      <c r="C50" s="21">
        <v>2866.6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38004845</v>
      </c>
      <c r="C51" s="25">
        <f>AVERAGE(C45:C50)</f>
        <v>2863.58</v>
      </c>
      <c r="D51" s="26">
        <f>AVERAGE(D45:D50)</f>
        <v>1.8199999999999998</v>
      </c>
      <c r="E51" s="26">
        <f>AVERAGE(E45:E50)</f>
        <v>2.02</v>
      </c>
    </row>
    <row r="52" spans="1:7" ht="16.5" customHeight="1" x14ac:dyDescent="0.3">
      <c r="A52" s="27" t="s">
        <v>14</v>
      </c>
      <c r="B52" s="28">
        <f>(STDEV(B45:B50)/B51)</f>
        <v>7.9339826731465394E-3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5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3472128</v>
      </c>
      <c r="C24" s="299">
        <v>8192.4</v>
      </c>
      <c r="D24" s="300">
        <v>1</v>
      </c>
      <c r="E24" s="301">
        <v>8.1999999999999993</v>
      </c>
    </row>
    <row r="25" spans="1:6" ht="16.5" customHeight="1" x14ac:dyDescent="0.3">
      <c r="A25" s="17">
        <v>2</v>
      </c>
      <c r="B25" s="302">
        <v>3458448</v>
      </c>
      <c r="C25" s="303">
        <v>8180.6</v>
      </c>
      <c r="D25" s="304">
        <v>1</v>
      </c>
      <c r="E25" s="305">
        <v>8.1999999999999993</v>
      </c>
    </row>
    <row r="26" spans="1:6" ht="16.5" customHeight="1" x14ac:dyDescent="0.3">
      <c r="A26" s="17">
        <v>3</v>
      </c>
      <c r="B26" s="302">
        <v>3448658</v>
      </c>
      <c r="C26" s="303">
        <v>8252.7000000000007</v>
      </c>
      <c r="D26" s="304">
        <v>1</v>
      </c>
      <c r="E26" s="305">
        <v>8.1999999999999993</v>
      </c>
    </row>
    <row r="27" spans="1:6" ht="16.5" customHeight="1" x14ac:dyDescent="0.3">
      <c r="A27" s="17">
        <v>4</v>
      </c>
      <c r="B27" s="302">
        <v>3460556</v>
      </c>
      <c r="C27" s="303">
        <v>8254</v>
      </c>
      <c r="D27" s="304">
        <v>1</v>
      </c>
      <c r="E27" s="305">
        <v>8.1999999999999993</v>
      </c>
    </row>
    <row r="28" spans="1:6" ht="16.5" customHeight="1" x14ac:dyDescent="0.3">
      <c r="A28" s="17">
        <v>5</v>
      </c>
      <c r="B28" s="302">
        <v>3471183</v>
      </c>
      <c r="C28" s="303">
        <v>8288.2000000000007</v>
      </c>
      <c r="D28" s="304">
        <v>1.1000000000000001</v>
      </c>
      <c r="E28" s="305">
        <v>8.1999999999999993</v>
      </c>
    </row>
    <row r="29" spans="1:6" ht="16.5" customHeight="1" x14ac:dyDescent="0.3">
      <c r="A29" s="17">
        <v>6</v>
      </c>
      <c r="B29" s="306">
        <v>3458686</v>
      </c>
      <c r="C29" s="307">
        <v>8335.6</v>
      </c>
      <c r="D29" s="308">
        <v>1</v>
      </c>
      <c r="E29" s="309">
        <v>8.1999999999999993</v>
      </c>
    </row>
    <row r="30" spans="1:6" ht="16.5" customHeight="1" x14ac:dyDescent="0.3">
      <c r="A30" s="23" t="s">
        <v>13</v>
      </c>
      <c r="B30" s="24">
        <f>AVERAGE(B24:B29)</f>
        <v>3461609.8333333335</v>
      </c>
      <c r="C30" s="25">
        <f>AVERAGE(C24:C29)</f>
        <v>8250.5833333333321</v>
      </c>
      <c r="D30" s="26">
        <f>AVERAGE(D24:D29)</f>
        <v>1.0166666666666666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2.5503107967012489E-3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3472128</v>
      </c>
      <c r="C45" s="299">
        <v>8192.4</v>
      </c>
      <c r="D45" s="300">
        <v>1</v>
      </c>
      <c r="E45" s="301">
        <v>8.1999999999999993</v>
      </c>
    </row>
    <row r="46" spans="1:6" ht="16.5" customHeight="1" x14ac:dyDescent="0.3">
      <c r="A46" s="17">
        <v>2</v>
      </c>
      <c r="B46" s="302">
        <v>3458448</v>
      </c>
      <c r="C46" s="303">
        <v>8180.6</v>
      </c>
      <c r="D46" s="304">
        <v>1</v>
      </c>
      <c r="E46" s="305">
        <v>8.1999999999999993</v>
      </c>
    </row>
    <row r="47" spans="1:6" ht="16.5" customHeight="1" x14ac:dyDescent="0.3">
      <c r="A47" s="17">
        <v>3</v>
      </c>
      <c r="B47" s="302">
        <v>3448658</v>
      </c>
      <c r="C47" s="303">
        <v>8252.7000000000007</v>
      </c>
      <c r="D47" s="304">
        <v>1</v>
      </c>
      <c r="E47" s="305">
        <v>8.1999999999999993</v>
      </c>
    </row>
    <row r="48" spans="1:6" ht="16.5" customHeight="1" x14ac:dyDescent="0.3">
      <c r="A48" s="17">
        <v>4</v>
      </c>
      <c r="B48" s="302">
        <v>3460556</v>
      </c>
      <c r="C48" s="303">
        <v>8254</v>
      </c>
      <c r="D48" s="304">
        <v>1</v>
      </c>
      <c r="E48" s="305">
        <v>8.1999999999999993</v>
      </c>
    </row>
    <row r="49" spans="1:7" ht="16.5" customHeight="1" x14ac:dyDescent="0.3">
      <c r="A49" s="17">
        <v>5</v>
      </c>
      <c r="B49" s="302">
        <v>3471183</v>
      </c>
      <c r="C49" s="303">
        <v>8288.2000000000007</v>
      </c>
      <c r="D49" s="304">
        <v>1.1000000000000001</v>
      </c>
      <c r="E49" s="305">
        <v>8.1999999999999993</v>
      </c>
    </row>
    <row r="50" spans="1:7" ht="16.5" customHeight="1" x14ac:dyDescent="0.3">
      <c r="A50" s="17">
        <v>6</v>
      </c>
      <c r="B50" s="306">
        <v>3458686</v>
      </c>
      <c r="C50" s="307">
        <v>8335.6</v>
      </c>
      <c r="D50" s="308">
        <v>1</v>
      </c>
      <c r="E50" s="309">
        <v>8.1999999999999993</v>
      </c>
    </row>
    <row r="51" spans="1:7" ht="16.5" customHeight="1" x14ac:dyDescent="0.3">
      <c r="A51" s="23" t="s">
        <v>13</v>
      </c>
      <c r="B51" s="24">
        <f>AVERAGE(B45:B50)</f>
        <v>3461609.8333333335</v>
      </c>
      <c r="C51" s="25">
        <f>AVERAGE(C45:C50)</f>
        <v>8250.5833333333321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2.5503107967012489E-3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706.55</v>
      </c>
      <c r="D24" s="86">
        <f t="shared" ref="D24:D43" si="0">(C24-$C$46)/$C$46</f>
        <v>4.3890043890045189E-3</v>
      </c>
      <c r="E24" s="53"/>
    </row>
    <row r="25" spans="1:5" ht="15.75" customHeight="1" x14ac:dyDescent="0.3">
      <c r="C25" s="94">
        <v>704.1</v>
      </c>
      <c r="D25" s="87">
        <f t="shared" si="0"/>
        <v>9.0623167546267111E-4</v>
      </c>
      <c r="E25" s="53"/>
    </row>
    <row r="26" spans="1:5" ht="15.75" customHeight="1" x14ac:dyDescent="0.3">
      <c r="C26" s="94">
        <v>709.85</v>
      </c>
      <c r="D26" s="87">
        <f t="shared" si="0"/>
        <v>9.0800860031631549E-3</v>
      </c>
      <c r="E26" s="53"/>
    </row>
    <row r="27" spans="1:5" ht="15.75" customHeight="1" x14ac:dyDescent="0.3">
      <c r="C27" s="94">
        <v>701.71</v>
      </c>
      <c r="D27" s="87">
        <f t="shared" si="0"/>
        <v>-2.4912486450945539E-3</v>
      </c>
      <c r="E27" s="53"/>
    </row>
    <row r="28" spans="1:5" ht="15.75" customHeight="1" x14ac:dyDescent="0.3">
      <c r="C28" s="94">
        <v>696.87</v>
      </c>
      <c r="D28" s="87">
        <f t="shared" si="0"/>
        <v>-9.3715016791937888E-3</v>
      </c>
      <c r="E28" s="53"/>
    </row>
    <row r="29" spans="1:5" ht="15.75" customHeight="1" x14ac:dyDescent="0.3">
      <c r="C29" s="94">
        <v>706.73</v>
      </c>
      <c r="D29" s="87">
        <f t="shared" si="0"/>
        <v>4.6448815679587113E-3</v>
      </c>
      <c r="E29" s="53"/>
    </row>
    <row r="30" spans="1:5" ht="15.75" customHeight="1" x14ac:dyDescent="0.3">
      <c r="C30" s="94">
        <v>704.16</v>
      </c>
      <c r="D30" s="87">
        <f t="shared" si="0"/>
        <v>9.9152406844729419E-4</v>
      </c>
      <c r="E30" s="53"/>
    </row>
    <row r="31" spans="1:5" ht="15.75" customHeight="1" x14ac:dyDescent="0.3">
      <c r="C31" s="94">
        <v>710.51</v>
      </c>
      <c r="D31" s="87">
        <f t="shared" si="0"/>
        <v>1.0018302325994816E-2</v>
      </c>
      <c r="E31" s="53"/>
    </row>
    <row r="32" spans="1:5" ht="15.75" customHeight="1" x14ac:dyDescent="0.3">
      <c r="C32" s="94">
        <v>700.23</v>
      </c>
      <c r="D32" s="87">
        <f t="shared" si="0"/>
        <v>-4.5951276720505299E-3</v>
      </c>
      <c r="E32" s="53"/>
    </row>
    <row r="33" spans="1:7" ht="15.75" customHeight="1" x14ac:dyDescent="0.3">
      <c r="C33" s="94">
        <v>708.02</v>
      </c>
      <c r="D33" s="87">
        <f t="shared" si="0"/>
        <v>6.4786680171297246E-3</v>
      </c>
      <c r="E33" s="53"/>
    </row>
    <row r="34" spans="1:7" ht="15.75" customHeight="1" x14ac:dyDescent="0.3">
      <c r="C34" s="94">
        <v>691.44</v>
      </c>
      <c r="D34" s="87">
        <f t="shared" si="0"/>
        <v>-1.7090463244309129E-2</v>
      </c>
      <c r="E34" s="53"/>
    </row>
    <row r="35" spans="1:7" ht="15.75" customHeight="1" x14ac:dyDescent="0.3">
      <c r="C35" s="94">
        <v>704.45</v>
      </c>
      <c r="D35" s="87">
        <f t="shared" si="0"/>
        <v>1.4037706345401242E-3</v>
      </c>
      <c r="E35" s="53"/>
    </row>
    <row r="36" spans="1:7" ht="15.75" customHeight="1" x14ac:dyDescent="0.3">
      <c r="C36" s="94">
        <v>707.05</v>
      </c>
      <c r="D36" s="87">
        <f t="shared" si="0"/>
        <v>5.0997743305436919E-3</v>
      </c>
      <c r="E36" s="53"/>
    </row>
    <row r="37" spans="1:7" ht="15.75" customHeight="1" x14ac:dyDescent="0.3">
      <c r="C37" s="94">
        <v>695.3</v>
      </c>
      <c r="D37" s="87">
        <f t="shared" si="0"/>
        <v>-1.1603319295626861E-2</v>
      </c>
      <c r="E37" s="53"/>
    </row>
    <row r="38" spans="1:7" ht="15.75" customHeight="1" x14ac:dyDescent="0.3">
      <c r="C38" s="94">
        <v>702.14</v>
      </c>
      <c r="D38" s="87">
        <f t="shared" si="0"/>
        <v>-1.8799864953709365E-3</v>
      </c>
      <c r="E38" s="53"/>
    </row>
    <row r="39" spans="1:7" ht="15.75" customHeight="1" x14ac:dyDescent="0.3">
      <c r="C39" s="94">
        <v>715.89</v>
      </c>
      <c r="D39" s="87">
        <f t="shared" si="0"/>
        <v>1.7666186896956305E-2</v>
      </c>
      <c r="E39" s="53"/>
    </row>
    <row r="40" spans="1:7" ht="15.75" customHeight="1" x14ac:dyDescent="0.3">
      <c r="C40" s="94">
        <v>702.57</v>
      </c>
      <c r="D40" s="87">
        <f t="shared" si="0"/>
        <v>-1.2687243456471578E-3</v>
      </c>
      <c r="E40" s="53"/>
    </row>
    <row r="41" spans="1:7" ht="15.75" customHeight="1" x14ac:dyDescent="0.3">
      <c r="C41" s="94">
        <v>693.59</v>
      </c>
      <c r="D41" s="87">
        <f t="shared" si="0"/>
        <v>-1.403415249569072E-2</v>
      </c>
      <c r="E41" s="53"/>
    </row>
    <row r="42" spans="1:7" ht="15.75" customHeight="1" x14ac:dyDescent="0.3">
      <c r="C42" s="94">
        <v>708.93</v>
      </c>
      <c r="D42" s="87">
        <f t="shared" si="0"/>
        <v>7.7722693107309731E-3</v>
      </c>
      <c r="E42" s="53"/>
    </row>
    <row r="43" spans="1:7" ht="16.5" customHeight="1" thickBot="1" x14ac:dyDescent="0.35">
      <c r="C43" s="95">
        <v>699.16</v>
      </c>
      <c r="D43" s="88">
        <f t="shared" si="0"/>
        <v>-6.1161753469444304E-3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14069.249999999998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703.46249999999986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703.46249999999986</v>
      </c>
      <c r="C49" s="92">
        <f>-IF(C46&lt;=80,10%,IF(C46&lt;250,7.5%,5%))</f>
        <v>-0.05</v>
      </c>
      <c r="D49" s="80">
        <f>IF(C46&lt;=80,C46*0.9,IF(C46&lt;250,C46*0.925,C46*0.95))</f>
        <v>668.28937499999984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738.63562499999989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7"/>
    </row>
    <row r="16" spans="1:9" ht="19.5" customHeight="1" x14ac:dyDescent="0.3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128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0" t="s">
        <v>125</v>
      </c>
      <c r="C26" s="320"/>
    </row>
    <row r="27" spans="1:14" ht="26.25" customHeight="1" x14ac:dyDescent="0.4">
      <c r="A27" s="108" t="s">
        <v>43</v>
      </c>
      <c r="B27" s="326" t="s">
        <v>126</v>
      </c>
      <c r="C27" s="326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37971738</v>
      </c>
      <c r="E38" s="132">
        <f>IF(ISBLANK(D38),"-",$D$48/$D$45*D38)</f>
        <v>36058313.753106743</v>
      </c>
      <c r="F38" s="131">
        <v>30936644</v>
      </c>
      <c r="G38" s="133">
        <f>IF(ISBLANK(F38),"-",$D$48/$F$45*F38)</f>
        <v>35721152.18412146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38002746</v>
      </c>
      <c r="E39" s="137">
        <f>IF(ISBLANK(D39),"-",$D$48/$D$45*D39)</f>
        <v>36087759.236820348</v>
      </c>
      <c r="F39" s="136">
        <v>31135551</v>
      </c>
      <c r="G39" s="138">
        <f>IF(ISBLANK(F39),"-",$D$48/$F$45*F39)</f>
        <v>35950821.155891217</v>
      </c>
      <c r="I39" s="336">
        <f>ABS((F43/D43*D42)-F42)/D42</f>
        <v>5.9025239629924902E-3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37919315</v>
      </c>
      <c r="E40" s="137">
        <f>IF(ISBLANK(D40),"-",$D$48/$D$45*D40)</f>
        <v>36008532.387242503</v>
      </c>
      <c r="F40" s="136">
        <v>30923870</v>
      </c>
      <c r="G40" s="138">
        <f>IF(ISBLANK(F40),"-",$D$48/$F$45*F40)</f>
        <v>35706402.620529495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37964599.666666664</v>
      </c>
      <c r="E42" s="147">
        <f>AVERAGE(E38:E41)</f>
        <v>36051535.125723191</v>
      </c>
      <c r="F42" s="146">
        <f>AVERAGE(F38:F41)</f>
        <v>30998688.333333332</v>
      </c>
      <c r="G42" s="148">
        <f>AVERAGE(G38:G41)</f>
        <v>35792791.986847393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15.88</v>
      </c>
      <c r="E43" s="139"/>
      <c r="F43" s="151">
        <v>13.06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13.176485459082535</v>
      </c>
      <c r="E44" s="154"/>
      <c r="F44" s="153">
        <f>F43*$B$34</f>
        <v>10.836580610555284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13.163308973623453</v>
      </c>
      <c r="E45" s="157"/>
      <c r="F45" s="156">
        <f>F44*$B$30/100</f>
        <v>10.825744029944728</v>
      </c>
      <c r="H45" s="149"/>
    </row>
    <row r="46" spans="1:14" ht="19.5" customHeight="1" x14ac:dyDescent="0.3">
      <c r="A46" s="337" t="s">
        <v>73</v>
      </c>
      <c r="B46" s="338"/>
      <c r="C46" s="152" t="s">
        <v>74</v>
      </c>
      <c r="D46" s="158">
        <f>D45/$B$45</f>
        <v>0.21061294357797525</v>
      </c>
      <c r="E46" s="159"/>
      <c r="F46" s="160">
        <f>F45/$B$45</f>
        <v>0.17321190447911564</v>
      </c>
      <c r="H46" s="149"/>
    </row>
    <row r="47" spans="1:14" ht="27" customHeight="1" x14ac:dyDescent="0.4">
      <c r="A47" s="339"/>
      <c r="B47" s="340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35922163.556285292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4.678070598603935E-3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703.46249999999986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41" t="s">
        <v>89</v>
      </c>
      <c r="D60" s="344">
        <v>764.95</v>
      </c>
      <c r="E60" s="181">
        <v>1</v>
      </c>
      <c r="F60" s="182">
        <v>46182960</v>
      </c>
      <c r="G60" s="271">
        <f>IF(ISBLANK(F60),"-",(F60/$D$50*$D$47*$B$68)*($B$57/$D$60))</f>
        <v>295.57465381009513</v>
      </c>
      <c r="H60" s="183">
        <f>IF(ISBLANK(F60),"-",G60/$B$56)</f>
        <v>1.0947209400373894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2"/>
      <c r="D61" s="345"/>
      <c r="E61" s="184">
        <v>2</v>
      </c>
      <c r="F61" s="136">
        <v>46322003</v>
      </c>
      <c r="G61" s="272">
        <f>IF(ISBLANK(F61),"-",(F61/$D$50*$D$47*$B$68)*($B$57/$D$60))</f>
        <v>296.46454017921741</v>
      </c>
      <c r="H61" s="185">
        <f t="shared" ref="H61:H71" si="0">IF(ISBLANK(F61),"-",G61/$B$56)</f>
        <v>1.098016815478583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46417902</v>
      </c>
      <c r="G62" s="272">
        <f>IF(ISBLANK(F62),"-",(F62/$D$50*$D$47*$B$68)*($B$57/$D$60))</f>
        <v>297.0783014826448</v>
      </c>
      <c r="H62" s="185">
        <f t="shared" si="0"/>
        <v>1.100290005491277</v>
      </c>
      <c r="L62" s="111"/>
    </row>
    <row r="63" spans="1:12" ht="27" customHeight="1" x14ac:dyDescent="0.4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740.01</v>
      </c>
      <c r="E64" s="181">
        <v>1</v>
      </c>
      <c r="F64" s="182">
        <v>44306825</v>
      </c>
      <c r="G64" s="273">
        <f>IF(ISBLANK(F64),"-",(F64/$D$50*$D$47*$B$68)*($B$57/$D$64))</f>
        <v>293.12409231194187</v>
      </c>
      <c r="H64" s="189">
        <f>IF(ISBLANK(F64),"-",G64/$B$56)</f>
        <v>1.0856447863405254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44078965</v>
      </c>
      <c r="G65" s="274">
        <f>IF(ISBLANK(F65),"-",(F65/$D$50*$D$47*$B$68)*($B$57/$D$64))</f>
        <v>291.61662126940615</v>
      </c>
      <c r="H65" s="190">
        <f t="shared" si="0"/>
        <v>1.0800615602570598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44949907</v>
      </c>
      <c r="G66" s="274">
        <f>IF(ISBLANK(F66),"-",(F66/$D$50*$D$47*$B$68)*($B$57/$D$64))</f>
        <v>297.37857968566249</v>
      </c>
      <c r="H66" s="190">
        <f t="shared" si="0"/>
        <v>1.1014021469839352</v>
      </c>
    </row>
    <row r="67" spans="1:8" ht="27" customHeight="1" x14ac:dyDescent="0.4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41" t="s">
        <v>99</v>
      </c>
      <c r="D68" s="344">
        <v>702.17</v>
      </c>
      <c r="E68" s="181">
        <v>1</v>
      </c>
      <c r="F68" s="182">
        <v>40860093</v>
      </c>
      <c r="G68" s="273">
        <f>IF(ISBLANK(F68),"-",(F68/$D$50*$D$47*$B$68)*($B$57/$D$68))</f>
        <v>284.88891698811921</v>
      </c>
      <c r="H68" s="185">
        <f>IF(ISBLANK(F68),"-",G68/$B$56)</f>
        <v>1.0551441369930341</v>
      </c>
    </row>
    <row r="69" spans="1:8" ht="27" customHeight="1" x14ac:dyDescent="0.4">
      <c r="A69" s="171" t="s">
        <v>100</v>
      </c>
      <c r="B69" s="193">
        <f>(D47*B68)/B56*B57</f>
        <v>651.35416666666652</v>
      </c>
      <c r="C69" s="342"/>
      <c r="D69" s="345"/>
      <c r="E69" s="184">
        <v>2</v>
      </c>
      <c r="F69" s="136">
        <v>41140376</v>
      </c>
      <c r="G69" s="274">
        <f>IF(ISBLANK(F69),"-",(F69/$D$50*$D$47*$B$68)*($B$57/$D$68))</f>
        <v>286.84313477025154</v>
      </c>
      <c r="H69" s="185">
        <f t="shared" si="0"/>
        <v>1.0623819806305612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41221113</v>
      </c>
      <c r="G70" s="274">
        <f>IF(ISBLANK(F70),"-",(F70/$D$50*$D$47*$B$68)*($B$57/$D$68))</f>
        <v>287.40605753430083</v>
      </c>
      <c r="H70" s="185">
        <f t="shared" si="0"/>
        <v>1.0644668797566696</v>
      </c>
    </row>
    <row r="71" spans="1:8" ht="27" customHeight="1" x14ac:dyDescent="0.4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1.0824588057743374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1.6519354137416287E-2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49" t="str">
        <f>B20</f>
        <v>Amodiaquine</v>
      </c>
      <c r="D76" s="349"/>
      <c r="E76" s="204" t="s">
        <v>103</v>
      </c>
      <c r="F76" s="204"/>
      <c r="G76" s="205">
        <f>H72</f>
        <v>1.0824588057743374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6" t="str">
        <f>B26</f>
        <v>Amodiaquine HCl</v>
      </c>
      <c r="C79" s="326"/>
    </row>
    <row r="80" spans="1:8" ht="26.25" customHeight="1" x14ac:dyDescent="0.4">
      <c r="A80" s="108" t="s">
        <v>43</v>
      </c>
      <c r="B80" s="326" t="str">
        <f>B27</f>
        <v>A7 1</v>
      </c>
      <c r="C80" s="326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3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22882712</v>
      </c>
      <c r="E91" s="132">
        <f>IF(ISBLANK(D91),"-",$D$101/$D$98*D91)</f>
        <v>27162043.808015216</v>
      </c>
      <c r="F91" s="281">
        <v>18557176</v>
      </c>
      <c r="G91" s="133">
        <f>IF(ISBLANK(F91),"-",$D$101/$F$98*F91)</f>
        <v>26783921.197283324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22914846</v>
      </c>
      <c r="E92" s="137">
        <f>IF(ISBLANK(D92),"-",$D$101/$D$98*D92)</f>
        <v>27200187.237680666</v>
      </c>
      <c r="F92" s="282">
        <v>18866243</v>
      </c>
      <c r="G92" s="138">
        <f>IF(ISBLANK(F92),"-",$D$101/$F$98*F92)</f>
        <v>27230003.412200119</v>
      </c>
      <c r="I92" s="336">
        <f>ABS((F96/D96*D95)-F95)/D95</f>
        <v>1.2387936738983718E-2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23317001</v>
      </c>
      <c r="E93" s="137">
        <f>IF(ISBLANK(D93),"-",$D$101/$D$98*D93)</f>
        <v>27677549.874050532</v>
      </c>
      <c r="F93" s="282">
        <v>18561461</v>
      </c>
      <c r="G93" s="138">
        <f>IF(ISBLANK(F93),"-",$D$101/$F$98*F93)</f>
        <v>26790105.81838787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23038186.333333332</v>
      </c>
      <c r="E95" s="147">
        <f>AVERAGE(E91:E94)</f>
        <v>27346593.63991547</v>
      </c>
      <c r="F95" s="216">
        <f>AVERAGE(F91:F94)</f>
        <v>18661626.666666668</v>
      </c>
      <c r="G95" s="217">
        <f>AVERAGE(G91:G94)</f>
        <v>26934676.809290439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15.88</v>
      </c>
      <c r="E96" s="139"/>
      <c r="F96" s="151">
        <v>13.06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13.176485459082535</v>
      </c>
      <c r="E97" s="154"/>
      <c r="F97" s="153">
        <f>F96*$B$87</f>
        <v>10.836580610555284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13.163308973623453</v>
      </c>
      <c r="E98" s="157"/>
      <c r="F98" s="156">
        <f>F97*$B$83/100</f>
        <v>10.825744029944728</v>
      </c>
    </row>
    <row r="99" spans="1:10" ht="19.5" customHeight="1" x14ac:dyDescent="0.3">
      <c r="A99" s="337" t="s">
        <v>73</v>
      </c>
      <c r="B99" s="351"/>
      <c r="C99" s="220" t="s">
        <v>111</v>
      </c>
      <c r="D99" s="224">
        <f>D98/$B$98</f>
        <v>6.3183883073392566E-2</v>
      </c>
      <c r="E99" s="157"/>
      <c r="F99" s="160">
        <f>F98/$B$98</f>
        <v>5.1963571343734694E-2</v>
      </c>
      <c r="G99" s="225"/>
      <c r="H99" s="149"/>
    </row>
    <row r="100" spans="1:10" ht="19.5" customHeight="1" x14ac:dyDescent="0.3">
      <c r="A100" s="339"/>
      <c r="B100" s="352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27140635.224602953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1.2224415560613022E-2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28248717</v>
      </c>
      <c r="E108" s="277">
        <f t="shared" ref="E108:E113" si="1">IF(ISBLANK(D108),"-",D108/$D$103*$D$100*$B$116)</f>
        <v>281.02340003766733</v>
      </c>
      <c r="F108" s="243">
        <f>IF(ISBLANK(D108), "-", E108/$B$56)</f>
        <v>1.0408274075469159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28024091</v>
      </c>
      <c r="E109" s="278">
        <f t="shared" si="1"/>
        <v>278.7887795323586</v>
      </c>
      <c r="F109" s="244">
        <f t="shared" ref="F109:F113" si="2">IF(ISBLANK(D109), "-", E109/$B$56)</f>
        <v>1.0325510353050318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28011913</v>
      </c>
      <c r="E110" s="278">
        <f t="shared" si="1"/>
        <v>278.66763056245469</v>
      </c>
      <c r="F110" s="244">
        <f>IF(ISBLANK(D110), "-", E110/$B$56)</f>
        <v>1.0321023354164989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28275196</v>
      </c>
      <c r="E111" s="278">
        <f t="shared" si="1"/>
        <v>281.28681796951878</v>
      </c>
      <c r="F111" s="244">
        <f t="shared" si="2"/>
        <v>1.0418030295167362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27528295</v>
      </c>
      <c r="E112" s="278">
        <f t="shared" si="1"/>
        <v>273.85651030239416</v>
      </c>
      <c r="F112" s="244">
        <f>IF(ISBLANK(D112), "-", E112/$B$56)</f>
        <v>1.0142833714903488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27671994</v>
      </c>
      <c r="E113" s="279">
        <f t="shared" si="1"/>
        <v>275.28605421980507</v>
      </c>
      <c r="F113" s="247">
        <f t="shared" si="2"/>
        <v>1.0195779785918706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1.030190859644567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1.0834302928705297E-2</v>
      </c>
      <c r="I116" s="97"/>
    </row>
    <row r="117" spans="1:10" ht="27" customHeight="1" x14ac:dyDescent="0.4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39"/>
      <c r="B118" s="340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49" t="str">
        <f>B20</f>
        <v>Amodiaquine</v>
      </c>
      <c r="D120" s="349"/>
      <c r="E120" s="204" t="s">
        <v>119</v>
      </c>
      <c r="F120" s="204"/>
      <c r="G120" s="205">
        <f>F115</f>
        <v>1.030190859644567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10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37" zoomScale="60" zoomScaleNormal="40" zoomScalePageLayoutView="50" workbookViewId="0">
      <selection activeCell="D15" sqref="A15:H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>
      <c r="A15" s="204"/>
    </row>
    <row r="16" spans="1:9" ht="19.5" customHeight="1" thickBot="1" x14ac:dyDescent="0.35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NDQD201508220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124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20" t="s">
        <v>124</v>
      </c>
      <c r="C26" s="320"/>
    </row>
    <row r="27" spans="1:14" ht="26.25" customHeight="1" x14ac:dyDescent="0.4">
      <c r="A27" s="214" t="s">
        <v>43</v>
      </c>
      <c r="B27" s="326" t="s">
        <v>127</v>
      </c>
      <c r="C27" s="326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3432486</v>
      </c>
      <c r="E38" s="132">
        <f>IF(ISBLANK(D38),"-",$D$48/$D$45*D38)</f>
        <v>2881769.7202636045</v>
      </c>
      <c r="F38" s="131">
        <v>3716265</v>
      </c>
      <c r="G38" s="133">
        <f>IF(ISBLANK(F38),"-",$D$48/$F$45*F38)</f>
        <v>2882142.6535614529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3450801</v>
      </c>
      <c r="E39" s="137">
        <f>IF(ISBLANK(D39),"-",$D$48/$D$45*D39)</f>
        <v>2897146.2177720075</v>
      </c>
      <c r="F39" s="136">
        <v>3735846</v>
      </c>
      <c r="G39" s="138">
        <f>IF(ISBLANK(F39),"-",$D$48/$F$45*F39)</f>
        <v>2897328.6629820368</v>
      </c>
      <c r="I39" s="336">
        <f>ABS((F43/D43*D42)-F42)/D42</f>
        <v>1.4046301036186107E-3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3443019</v>
      </c>
      <c r="E40" s="137">
        <f>IF(ISBLANK(D40),"-",$D$48/$D$45*D40)</f>
        <v>2890612.7805014425</v>
      </c>
      <c r="F40" s="136">
        <v>3740975</v>
      </c>
      <c r="G40" s="138">
        <f>IF(ISBLANK(F40),"-",$D$48/$F$45*F40)</f>
        <v>2901306.4497303222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3442102</v>
      </c>
      <c r="E42" s="147">
        <f>AVERAGE(E38:E41)</f>
        <v>2889842.9061790183</v>
      </c>
      <c r="F42" s="146">
        <f>AVERAGE(F38:F41)</f>
        <v>3731028.6666666665</v>
      </c>
      <c r="G42" s="148">
        <f>AVERAGE(G38:G41)</f>
        <v>2893592.5887579373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23.99</v>
      </c>
      <c r="E43" s="204"/>
      <c r="F43" s="151">
        <v>25.97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23.99</v>
      </c>
      <c r="E44" s="222"/>
      <c r="F44" s="153">
        <f>F43*$B$34</f>
        <v>25.97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23.82207</v>
      </c>
      <c r="E45" s="200"/>
      <c r="F45" s="156">
        <f>F44*$B$30/100</f>
        <v>25.788209999999999</v>
      </c>
      <c r="H45" s="149"/>
    </row>
    <row r="46" spans="1:14" ht="19.5" customHeight="1" thickBot="1" x14ac:dyDescent="0.35">
      <c r="A46" s="337" t="s">
        <v>73</v>
      </c>
      <c r="B46" s="338"/>
      <c r="C46" s="152" t="s">
        <v>74</v>
      </c>
      <c r="D46" s="158">
        <f>D45/$B$45</f>
        <v>4.7644140000000004</v>
      </c>
      <c r="E46" s="159"/>
      <c r="F46" s="160">
        <f>F45/$B$45</f>
        <v>5.1576420000000001</v>
      </c>
      <c r="H46" s="149"/>
    </row>
    <row r="47" spans="1:14" ht="27" customHeight="1" thickBot="1" x14ac:dyDescent="0.45">
      <c r="A47" s="339"/>
      <c r="B47" s="340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2891717.7474684776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2.871559667600612E-3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703.46249999999986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41" t="s">
        <v>89</v>
      </c>
      <c r="D60" s="344">
        <v>707.21</v>
      </c>
      <c r="E60" s="181">
        <v>1</v>
      </c>
      <c r="F60" s="182">
        <v>3579793</v>
      </c>
      <c r="G60" s="271">
        <f>IF(ISBLANK(F60),"-",(F60/$D$50*$D$47*$B$68)*($B$57/$D$60))</f>
        <v>98.510961778850273</v>
      </c>
      <c r="H60" s="183">
        <f>IF(ISBLANK(F60),"-",G60/$B$56)</f>
        <v>0.9851096177885027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2"/>
      <c r="D61" s="345"/>
      <c r="E61" s="184">
        <v>2</v>
      </c>
      <c r="F61" s="136">
        <v>3612251</v>
      </c>
      <c r="G61" s="272">
        <f>IF(ISBLANK(F61),"-",(F61/$D$50*$D$47*$B$68)*($B$57/$D$60))</f>
        <v>99.404161133510698</v>
      </c>
      <c r="H61" s="185">
        <f t="shared" ref="H61:H71" si="0">IF(ISBLANK(F61),"-",G61/$B$56)</f>
        <v>0.99404161133510693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3633604</v>
      </c>
      <c r="G62" s="272">
        <f>IF(ISBLANK(F62),"-",(F62/$D$50*$D$47*$B$68)*($B$57/$D$60))</f>
        <v>99.991766217621375</v>
      </c>
      <c r="H62" s="185">
        <f t="shared" si="0"/>
        <v>0.99991766217621381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707.08</v>
      </c>
      <c r="E64" s="181">
        <v>1</v>
      </c>
      <c r="F64" s="182">
        <v>3572627</v>
      </c>
      <c r="G64" s="273">
        <f>IF(ISBLANK(F64),"-",(F64/$D$50*$D$47*$B$68)*($B$57/$D$64))</f>
        <v>98.331838800936694</v>
      </c>
      <c r="H64" s="189">
        <f>IF(ISBLANK(F64),"-",G64/$B$56)</f>
        <v>0.98331838800936699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3594319</v>
      </c>
      <c r="G65" s="274">
        <f>IF(ISBLANK(F65),"-",(F65/$D$50*$D$47*$B$68)*($B$57/$D$64))</f>
        <v>98.928882446206657</v>
      </c>
      <c r="H65" s="190">
        <f t="shared" si="0"/>
        <v>0.98928882446206656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3572120</v>
      </c>
      <c r="G66" s="274">
        <f>IF(ISBLANK(F66),"-",(F66/$D$50*$D$47*$B$68)*($B$57/$D$64))</f>
        <v>98.31788429567429</v>
      </c>
      <c r="H66" s="190">
        <f t="shared" si="0"/>
        <v>0.98317884295674285</v>
      </c>
    </row>
    <row r="67" spans="1:8" ht="27" customHeight="1" thickBot="1" x14ac:dyDescent="0.45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41" t="s">
        <v>99</v>
      </c>
      <c r="D68" s="344">
        <v>700.32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thickBot="1" x14ac:dyDescent="0.45">
      <c r="A69" s="171" t="s">
        <v>100</v>
      </c>
      <c r="B69" s="193">
        <f>(D47*B68)/B56*B57</f>
        <v>562.76999999999987</v>
      </c>
      <c r="C69" s="342"/>
      <c r="D69" s="345"/>
      <c r="E69" s="184">
        <v>2</v>
      </c>
      <c r="F69" s="136">
        <v>3515405</v>
      </c>
      <c r="G69" s="274">
        <f>IF(ISBLANK(F69),"-",(F69/$D$50*$D$47*$B$68)*($B$57/$D$68))</f>
        <v>97.690846884688412</v>
      </c>
      <c r="H69" s="185">
        <f t="shared" si="0"/>
        <v>0.97690846884688409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3525457</v>
      </c>
      <c r="G70" s="274">
        <f>IF(ISBLANK(F70),"-",(F70/$D$50*$D$47*$B$68)*($B$57/$D$68))</f>
        <v>97.970185507943739</v>
      </c>
      <c r="H70" s="185">
        <f t="shared" si="0"/>
        <v>0.97970185507943741</v>
      </c>
    </row>
    <row r="71" spans="1:8" ht="27" customHeight="1" thickBot="1" x14ac:dyDescent="0.45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0.98643315883179028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7.7200360051947461E-3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8</v>
      </c>
    </row>
    <row r="76" spans="1:8" ht="26.25" customHeight="1" x14ac:dyDescent="0.4">
      <c r="A76" s="262" t="s">
        <v>101</v>
      </c>
      <c r="B76" s="214" t="s">
        <v>102</v>
      </c>
      <c r="C76" s="349" t="str">
        <f>B20</f>
        <v>Artesunate</v>
      </c>
      <c r="D76" s="349"/>
      <c r="E76" s="204" t="s">
        <v>103</v>
      </c>
      <c r="F76" s="204"/>
      <c r="G76" s="205">
        <f>H72</f>
        <v>0.98643315883179028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26" t="str">
        <f>B26</f>
        <v>Artesunate</v>
      </c>
      <c r="C79" s="326"/>
    </row>
    <row r="80" spans="1:8" ht="26.25" customHeight="1" x14ac:dyDescent="0.4">
      <c r="A80" s="214" t="s">
        <v>43</v>
      </c>
      <c r="B80" s="326" t="str">
        <f>B27</f>
        <v>A15 2</v>
      </c>
      <c r="C80" s="326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3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1055227</v>
      </c>
      <c r="E91" s="132">
        <f>IF(ISBLANK(D91),"-",$D$101/$D$98*D91)</f>
        <v>1107404.8141072541</v>
      </c>
      <c r="F91" s="281">
        <v>1150180</v>
      </c>
      <c r="G91" s="133">
        <f>IF(ISBLANK(F91),"-",$D$101/$F$98*F91)</f>
        <v>1115025.0443904405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1062700</v>
      </c>
      <c r="E92" s="137">
        <f>IF(ISBLANK(D92),"-",$D$101/$D$98*D92)</f>
        <v>1115247.3315711019</v>
      </c>
      <c r="F92" s="282">
        <v>1157436</v>
      </c>
      <c r="G92" s="138">
        <f>IF(ISBLANK(F92),"-",$D$101/$F$98*F92)</f>
        <v>1122059.2666183501</v>
      </c>
      <c r="I92" s="336">
        <f>ABS((F96/D96*D95)-F95)/D95</f>
        <v>3.4754611874097665E-3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1068708</v>
      </c>
      <c r="E93" s="137">
        <f>IF(ISBLANK(D93),"-",$D$101/$D$98*D93)</f>
        <v>1121552.40917351</v>
      </c>
      <c r="F93" s="282">
        <v>1153101</v>
      </c>
      <c r="G93" s="138">
        <f>IF(ISBLANK(F93),"-",$D$101/$F$98*F93)</f>
        <v>1117856.7647773924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1062211.6666666667</v>
      </c>
      <c r="E95" s="147">
        <f>AVERAGE(E91:E94)</f>
        <v>1114734.8516172888</v>
      </c>
      <c r="F95" s="216">
        <f>AVERAGE(F91:F94)</f>
        <v>1153572.3333333333</v>
      </c>
      <c r="G95" s="217">
        <f>AVERAGE(G91:G94)</f>
        <v>1118313.6919287276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23.99</v>
      </c>
      <c r="E96" s="204"/>
      <c r="F96" s="151">
        <v>25.97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23.99</v>
      </c>
      <c r="E97" s="222"/>
      <c r="F97" s="153">
        <f>F96*$B$87</f>
        <v>25.97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23.82207</v>
      </c>
      <c r="E98" s="200"/>
      <c r="F98" s="156">
        <f>F97*$B$83/100</f>
        <v>25.788209999999999</v>
      </c>
    </row>
    <row r="99" spans="1:10" ht="19.5" customHeight="1" thickBot="1" x14ac:dyDescent="0.35">
      <c r="A99" s="337" t="s">
        <v>73</v>
      </c>
      <c r="B99" s="351"/>
      <c r="C99" s="220" t="s">
        <v>111</v>
      </c>
      <c r="D99" s="224">
        <f>D98/$B$98</f>
        <v>4.7644140000000001E-2</v>
      </c>
      <c r="E99" s="200"/>
      <c r="F99" s="160">
        <f>F98/$B$98</f>
        <v>5.1576419999999998E-2</v>
      </c>
      <c r="H99" s="149"/>
    </row>
    <row r="100" spans="1:10" ht="19.5" customHeight="1" thickBot="1" x14ac:dyDescent="0.35">
      <c r="A100" s="339"/>
      <c r="B100" s="352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1116524.2717730084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4.8187685825021179E-3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1075998</v>
      </c>
      <c r="E108" s="277">
        <f t="shared" ref="E108:E113" si="1">IF(ISBLANK(D108),"-",D108/$D$103*$D$100*$B$116)</f>
        <v>96.370318783249218</v>
      </c>
      <c r="F108" s="243">
        <f>IF(ISBLANK(D108), "-", E108/$B$56)</f>
        <v>0.9637031878324922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1090866</v>
      </c>
      <c r="E109" s="278">
        <f t="shared" si="1"/>
        <v>97.701951276682621</v>
      </c>
      <c r="F109" s="244">
        <f t="shared" ref="F109:F113" si="2">IF(ISBLANK(D109), "-", E109/$B$56)</f>
        <v>0.97701951276682619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1092096</v>
      </c>
      <c r="E110" s="278">
        <f t="shared" si="1"/>
        <v>97.812114578197495</v>
      </c>
      <c r="F110" s="244">
        <f>IF(ISBLANK(D110), "-", E110/$B$56)</f>
        <v>0.97812114578197495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1097227</v>
      </c>
      <c r="E111" s="278">
        <f t="shared" si="1"/>
        <v>98.271665716468064</v>
      </c>
      <c r="F111" s="244">
        <f t="shared" si="2"/>
        <v>0.9827166571646806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1081686</v>
      </c>
      <c r="E112" s="278">
        <f t="shared" si="1"/>
        <v>96.87975688001066</v>
      </c>
      <c r="F112" s="244">
        <f>IF(ISBLANK(D112), "-", E112/$B$56)</f>
        <v>0.96879756880010659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1089188</v>
      </c>
      <c r="E113" s="279">
        <f t="shared" si="1"/>
        <v>97.551663455591608</v>
      </c>
      <c r="F113" s="247">
        <f t="shared" si="2"/>
        <v>0.97551663455591608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0.97431245115033283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7.0645736321523879E-3</v>
      </c>
      <c r="I116" s="204"/>
    </row>
    <row r="117" spans="1:10" ht="27" customHeight="1" thickBot="1" x14ac:dyDescent="0.45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39"/>
      <c r="B118" s="340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49" t="str">
        <f>B20</f>
        <v>Artesunate</v>
      </c>
      <c r="D120" s="349"/>
      <c r="E120" s="204" t="s">
        <v>119</v>
      </c>
      <c r="F120" s="204"/>
      <c r="G120" s="205">
        <f>F115</f>
        <v>0.97431245115033283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87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2015-12-10T12:19:04Z</cp:lastPrinted>
  <dcterms:created xsi:type="dcterms:W3CDTF">2005-07-05T10:19:27Z</dcterms:created>
  <dcterms:modified xsi:type="dcterms:W3CDTF">2015-12-10T12:22:02Z</dcterms:modified>
</cp:coreProperties>
</file>