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13095" windowHeight="4305" activeTab="3"/>
  </bookViews>
  <sheets>
    <sheet name="SST (AH)" sheetId="4" r:id="rId1"/>
    <sheet name="SST (A)" sheetId="1" r:id="rId2"/>
    <sheet name="Uniformity" sheetId="2" r:id="rId3"/>
    <sheet name="Amodiaquine HCl" sheetId="3" r:id="rId4"/>
    <sheet name="Artesunate" sheetId="5" r:id="rId5"/>
  </sheets>
  <definedNames>
    <definedName name="_xlnm.Print_Area" localSheetId="3">'Amodiaquine HCl'!$A$1:$N$125</definedName>
    <definedName name="_xlnm.Print_Area" localSheetId="4">Artesunate!$A$1:$N$125</definedName>
    <definedName name="_xlnm.Print_Area" localSheetId="0">'SST (AH)'!$A$1:$G$61</definedName>
    <definedName name="_xlnm.Print_Area" localSheetId="2">Uniformity!$A$1:$F$54</definedName>
  </definedNames>
  <calcPr calcId="144525"/>
</workbook>
</file>

<file path=xl/calcChain.xml><?xml version="1.0" encoding="utf-8"?>
<calcChain xmlns="http://schemas.openxmlformats.org/spreadsheetml/2006/main">
  <c r="B57" i="3" l="1"/>
  <c r="B85" i="3" l="1"/>
  <c r="B31" i="3"/>
  <c r="B84" i="3" s="1"/>
  <c r="B116" i="5"/>
  <c r="D100" i="5" s="1"/>
  <c r="B98" i="5"/>
  <c r="F95" i="5"/>
  <c r="D95" i="5"/>
  <c r="E94" i="5"/>
  <c r="B87" i="5"/>
  <c r="F97" i="5" s="1"/>
  <c r="F98" i="5" s="1"/>
  <c r="B81" i="5"/>
  <c r="B83" i="5" s="1"/>
  <c r="B80" i="5"/>
  <c r="B79" i="5"/>
  <c r="H71" i="5"/>
  <c r="G71" i="5"/>
  <c r="B68" i="5"/>
  <c r="H67" i="5"/>
  <c r="G67" i="5"/>
  <c r="H63" i="5"/>
  <c r="G63" i="5"/>
  <c r="B45" i="5"/>
  <c r="D48" i="5" s="1"/>
  <c r="D44" i="5"/>
  <c r="D45" i="5" s="1"/>
  <c r="F42" i="5"/>
  <c r="D42" i="5"/>
  <c r="G41" i="5"/>
  <c r="E41" i="5"/>
  <c r="B34" i="5"/>
  <c r="F44" i="5" s="1"/>
  <c r="B30" i="5"/>
  <c r="B23" i="5"/>
  <c r="B22" i="5"/>
  <c r="B21" i="5"/>
  <c r="B55" i="5" s="1"/>
  <c r="C120" i="5"/>
  <c r="B19" i="5"/>
  <c r="B53" i="4"/>
  <c r="E51" i="4"/>
  <c r="D51" i="4"/>
  <c r="C51" i="4"/>
  <c r="B51" i="4"/>
  <c r="B52" i="4" s="1"/>
  <c r="B41" i="4"/>
  <c r="B40" i="4"/>
  <c r="B39" i="4"/>
  <c r="B32" i="4"/>
  <c r="E30" i="4"/>
  <c r="D30" i="4"/>
  <c r="C30" i="4"/>
  <c r="B30" i="4"/>
  <c r="B31" i="4" s="1"/>
  <c r="B21" i="4"/>
  <c r="B42" i="4" s="1"/>
  <c r="B17" i="4"/>
  <c r="B17" i="1"/>
  <c r="B23" i="3"/>
  <c r="B22" i="3"/>
  <c r="B21" i="3"/>
  <c r="B19" i="3"/>
  <c r="F99" i="5" l="1"/>
  <c r="D101" i="5"/>
  <c r="D102" i="5" s="1"/>
  <c r="D46" i="5"/>
  <c r="I92" i="5"/>
  <c r="I39" i="5"/>
  <c r="F45" i="5"/>
  <c r="F46" i="5" s="1"/>
  <c r="E39" i="5"/>
  <c r="D49" i="5"/>
  <c r="E40" i="5"/>
  <c r="E38" i="5"/>
  <c r="C76" i="5"/>
  <c r="D97" i="5"/>
  <c r="D98" i="5" s="1"/>
  <c r="D99" i="5" s="1"/>
  <c r="C56" i="5"/>
  <c r="B21" i="1"/>
  <c r="G38" i="5" l="1"/>
  <c r="G40" i="5"/>
  <c r="G91" i="5"/>
  <c r="E92" i="5"/>
  <c r="G93" i="5"/>
  <c r="G92" i="5"/>
  <c r="E91" i="5"/>
  <c r="E93" i="5"/>
  <c r="G39" i="5"/>
  <c r="E42" i="5"/>
  <c r="B45" i="3"/>
  <c r="D48" i="3" s="1"/>
  <c r="B87" i="3"/>
  <c r="B34" i="3"/>
  <c r="D44" i="3" s="1"/>
  <c r="B30" i="3"/>
  <c r="B42" i="1"/>
  <c r="B41" i="1"/>
  <c r="B40" i="1"/>
  <c r="B39" i="1"/>
  <c r="C120" i="3"/>
  <c r="B116" i="3"/>
  <c r="D100" i="3" s="1"/>
  <c r="B98" i="3"/>
  <c r="F95" i="3"/>
  <c r="D95" i="3"/>
  <c r="D97" i="3"/>
  <c r="B81" i="3"/>
  <c r="B83" i="3" s="1"/>
  <c r="B80" i="3"/>
  <c r="B79" i="3"/>
  <c r="C76" i="3"/>
  <c r="B68" i="3"/>
  <c r="C56" i="3"/>
  <c r="B55" i="3"/>
  <c r="F42" i="3"/>
  <c r="D42" i="3"/>
  <c r="C46" i="2"/>
  <c r="C45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52" i="5" l="1"/>
  <c r="G95" i="5"/>
  <c r="D105" i="5"/>
  <c r="B69" i="3"/>
  <c r="B57" i="5"/>
  <c r="B69" i="5" s="1"/>
  <c r="E95" i="5"/>
  <c r="D103" i="5"/>
  <c r="E112" i="5" s="1"/>
  <c r="F112" i="5" s="1"/>
  <c r="D50" i="5"/>
  <c r="D51" i="5" s="1"/>
  <c r="G42" i="5"/>
  <c r="D27" i="2"/>
  <c r="D31" i="2"/>
  <c r="D35" i="2"/>
  <c r="D39" i="2"/>
  <c r="D43" i="2"/>
  <c r="C49" i="2"/>
  <c r="D25" i="2"/>
  <c r="D29" i="2"/>
  <c r="D33" i="2"/>
  <c r="D37" i="2"/>
  <c r="D41" i="2"/>
  <c r="D24" i="2"/>
  <c r="D28" i="2"/>
  <c r="D32" i="2"/>
  <c r="D36" i="2"/>
  <c r="D40" i="2"/>
  <c r="D49" i="2"/>
  <c r="D26" i="2"/>
  <c r="D30" i="2"/>
  <c r="D34" i="2"/>
  <c r="D38" i="2"/>
  <c r="D42" i="2"/>
  <c r="B49" i="2"/>
  <c r="D50" i="2"/>
  <c r="I92" i="3"/>
  <c r="D101" i="3"/>
  <c r="F97" i="3"/>
  <c r="F98" i="3" s="1"/>
  <c r="I39" i="3"/>
  <c r="F44" i="3"/>
  <c r="F45" i="3" s="1"/>
  <c r="G38" i="3" s="1"/>
  <c r="D45" i="3"/>
  <c r="E38" i="3" s="1"/>
  <c r="D98" i="3"/>
  <c r="E41" i="3"/>
  <c r="D49" i="3"/>
  <c r="E39" i="3"/>
  <c r="C50" i="2"/>
  <c r="G70" i="5" l="1"/>
  <c r="H70" i="5" s="1"/>
  <c r="G64" i="5"/>
  <c r="H64" i="5" s="1"/>
  <c r="G69" i="5"/>
  <c r="H69" i="5" s="1"/>
  <c r="G62" i="5"/>
  <c r="H62" i="5" s="1"/>
  <c r="G61" i="5"/>
  <c r="H61" i="5" s="1"/>
  <c r="G60" i="5"/>
  <c r="H60" i="5" s="1"/>
  <c r="G68" i="5"/>
  <c r="H68" i="5" s="1"/>
  <c r="G65" i="5"/>
  <c r="H65" i="5" s="1"/>
  <c r="D104" i="5"/>
  <c r="E109" i="5"/>
  <c r="F109" i="5" s="1"/>
  <c r="E108" i="5"/>
  <c r="F108" i="5" s="1"/>
  <c r="E110" i="5"/>
  <c r="F110" i="5" s="1"/>
  <c r="E113" i="5"/>
  <c r="F113" i="5" s="1"/>
  <c r="E111" i="5"/>
  <c r="F111" i="5" s="1"/>
  <c r="G66" i="5"/>
  <c r="H66" i="5" s="1"/>
  <c r="E91" i="3"/>
  <c r="G91" i="3"/>
  <c r="D102" i="3"/>
  <c r="E92" i="3"/>
  <c r="G93" i="3"/>
  <c r="G94" i="3"/>
  <c r="F99" i="3"/>
  <c r="G92" i="3"/>
  <c r="D46" i="3"/>
  <c r="F46" i="3"/>
  <c r="G39" i="3"/>
  <c r="G41" i="3"/>
  <c r="E94" i="3"/>
  <c r="G40" i="3"/>
  <c r="D99" i="3"/>
  <c r="E93" i="3"/>
  <c r="E40" i="3"/>
  <c r="H74" i="5" l="1"/>
  <c r="H72" i="5"/>
  <c r="G76" i="5" s="1"/>
  <c r="F117" i="5"/>
  <c r="F115" i="5"/>
  <c r="G120" i="5" s="1"/>
  <c r="G95" i="3"/>
  <c r="D103" i="3"/>
  <c r="E111" i="3" s="1"/>
  <c r="F111" i="3" s="1"/>
  <c r="G42" i="3"/>
  <c r="E95" i="3"/>
  <c r="D52" i="3"/>
  <c r="E42" i="3"/>
  <c r="D105" i="3"/>
  <c r="D50" i="3"/>
  <c r="H73" i="5" l="1"/>
  <c r="F116" i="5"/>
  <c r="D104" i="3"/>
  <c r="G68" i="3"/>
  <c r="H68" i="3" s="1"/>
  <c r="G60" i="3"/>
  <c r="H60" i="3" s="1"/>
  <c r="D51" i="3"/>
  <c r="E113" i="3"/>
  <c r="F113" i="3" s="1"/>
  <c r="E112" i="3"/>
  <c r="F112" i="3" s="1"/>
  <c r="E110" i="3"/>
  <c r="F110" i="3" s="1"/>
  <c r="E109" i="3"/>
  <c r="F109" i="3" s="1"/>
  <c r="E108" i="3"/>
  <c r="F108" i="3" s="1"/>
  <c r="G69" i="3"/>
  <c r="H69" i="3" s="1"/>
  <c r="G70" i="3"/>
  <c r="H70" i="3" s="1"/>
  <c r="G64" i="3"/>
  <c r="H64" i="3" s="1"/>
  <c r="G61" i="3"/>
  <c r="H61" i="3" s="1"/>
  <c r="G71" i="3"/>
  <c r="H71" i="3" s="1"/>
  <c r="G65" i="3"/>
  <c r="H65" i="3" s="1"/>
  <c r="G62" i="3"/>
  <c r="H62" i="3" s="1"/>
  <c r="G63" i="3"/>
  <c r="H63" i="3" s="1"/>
  <c r="G67" i="3"/>
  <c r="H67" i="3" s="1"/>
  <c r="G66" i="3"/>
  <c r="H66" i="3" s="1"/>
  <c r="F117" i="3" l="1"/>
  <c r="F115" i="3"/>
  <c r="G120" i="3" s="1"/>
  <c r="H74" i="3"/>
  <c r="H72" i="3"/>
  <c r="G76" i="3" s="1"/>
  <c r="H73" i="3" l="1"/>
  <c r="F116" i="3"/>
</calcChain>
</file>

<file path=xl/sharedStrings.xml><?xml version="1.0" encoding="utf-8"?>
<sst xmlns="http://schemas.openxmlformats.org/spreadsheetml/2006/main" count="435" uniqueCount="132">
  <si>
    <t>HPLC System Suitability Report</t>
  </si>
  <si>
    <t>Analysis Data</t>
  </si>
  <si>
    <t>Assay</t>
  </si>
  <si>
    <t>Sample(s)</t>
  </si>
  <si>
    <t>Reference Substance:</t>
  </si>
  <si>
    <t>% age Purity: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</si>
  <si>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</si>
  <si>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</si>
  <si>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</si>
  <si>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</si>
  <si>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</si>
  <si>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</si>
  <si>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</si>
  <si>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</si>
  <si>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</si>
  <si>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</si>
  <si>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</si>
  <si>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</si>
  <si>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</si>
  <si>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</si>
  <si>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</si>
  <si>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</si>
  <si>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</si>
  <si>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</si>
  <si>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</si>
  <si>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</si>
  <si>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</si>
  <si>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</si>
  <si>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</si>
  <si>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</si>
  <si>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</si>
  <si>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</si>
  <si>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</si>
  <si>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</si>
  <si>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</si>
  <si>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</si>
  <si>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</si>
  <si>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</si>
  <si>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</si>
  <si>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</si>
  <si>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</si>
  <si>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</si>
  <si>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</si>
  <si>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</si>
  <si>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</si>
  <si>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</si>
  <si>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</si>
  <si>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</si>
  <si>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</si>
  <si>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</si>
  <si>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</si>
  <si>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</si>
  <si>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</si>
  <si>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</si>
  <si>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</si>
  <si>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</si>
  <si>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</si>
  <si>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</si>
  <si>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</si>
  <si>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</si>
  <si>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</si>
  <si>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</si>
  <si>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</si>
  <si>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</si>
  <si>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</si>
  <si>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</si>
  <si>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</si>
  <si>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</si>
  <si>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</si>
  <si>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</si>
  <si>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</si>
  <si>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</si>
  <si>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</si>
  <si>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</si>
  <si>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</si>
  <si>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</si>
  <si>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</si>
  <si>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</si>
  <si>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</si>
  <si>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</si>
  <si>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</si>
  <si>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</si>
  <si>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</si>
  <si>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</si>
  <si>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</si>
  <si>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</si>
  <si>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</si>
  <si>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</si>
  <si>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</si>
  <si>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</si>
  <si>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</si>
  <si>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</si>
  <si>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</si>
  <si>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</si>
  <si>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</si>
  <si>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</si>
  <si>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</si>
  <si>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</si>
  <si>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</si>
  <si>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</si>
  <si>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</si>
  <si>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</si>
  <si>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</si>
  <si>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</si>
  <si>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</si>
  <si>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</si>
  <si>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</si>
  <si>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</si>
  <si>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</si>
  <si>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</si>
  <si>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</si>
  <si>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</si>
  <si>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</si>
  <si>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</si>
  <si>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</si>
  <si>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</si>
  <si>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</si>
  <si>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</si>
  <si>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</si>
  <si>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</si>
  <si>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Bugigi</t>
  </si>
  <si>
    <t>Artesunate &amp; Amodiaquine Tablets</t>
  </si>
  <si>
    <t>Arteunate &amp; Amodiaquine Tablets</t>
  </si>
  <si>
    <t>Arteunate &amp; Amodiaquine</t>
  </si>
  <si>
    <t>Artesunate</t>
  </si>
  <si>
    <t>Amodiaquine HCl</t>
  </si>
  <si>
    <t>A7 1</t>
  </si>
  <si>
    <t>A15 2</t>
  </si>
  <si>
    <t>Amodiaquine</t>
  </si>
  <si>
    <t xml:space="preserve"> </t>
  </si>
  <si>
    <t>NDQD201508225</t>
  </si>
  <si>
    <t>Each bilayered tablet contains Artesunate 50mg and Amodiaquine 135mg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</si>
</sst>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5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4" fillId="2" borderId="0"/>
  </cellStyleXfs>
  <cellXfs count="346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2" fillId="2" borderId="0" xfId="0" applyNumberFormat="1" applyFont="1" applyFill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0" fontId="11" fillId="2" borderId="6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center"/>
    </xf>
    <xf numFmtId="0" fontId="11" fillId="2" borderId="57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Protection="1"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8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5" fillId="2" borderId="0" xfId="0" applyNumberFormat="1" applyFont="1" applyFill="1" applyAlignment="1">
      <alignment horizontal="left"/>
    </xf>
    <xf numFmtId="0" fontId="13" fillId="3" borderId="29" xfId="1" applyFont="1" applyFill="1" applyBorder="1" applyAlignment="1" applyProtection="1">
      <alignment horizontal="center"/>
      <protection locked="0"/>
    </xf>
    <xf numFmtId="0" fontId="13" fillId="3" borderId="23" xfId="1" applyFont="1" applyFill="1" applyBorder="1" applyAlignment="1" applyProtection="1">
      <alignment horizontal="center"/>
      <protection locked="0"/>
    </xf>
    <xf numFmtId="0" fontId="13" fillId="3" borderId="34" xfId="1" applyFont="1" applyFill="1" applyBorder="1" applyAlignment="1" applyProtection="1">
      <alignment horizontal="center"/>
      <protection locked="0"/>
    </xf>
    <xf numFmtId="171" fontId="13" fillId="3" borderId="34" xfId="1" applyNumberFormat="1" applyFont="1" applyFill="1" applyBorder="1" applyAlignment="1" applyProtection="1">
      <alignment horizontal="center"/>
      <protection locked="0"/>
    </xf>
    <xf numFmtId="0" fontId="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14" fontId="2" fillId="2" borderId="7" xfId="0" applyNumberFormat="1" applyFont="1" applyFill="1" applyBorder="1" applyAlignment="1">
      <alignment horizontal="center"/>
    </xf>
    <xf numFmtId="14" fontId="6" fillId="2" borderId="7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4" fontId="11" fillId="2" borderId="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9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2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</cellXfs>
  <cellStyles count="2">
    <cellStyle name="Normal" xfId="0" builtinId="0"/>
    <cellStyle name="Normal 2" xfId="1"/>
  </cellStyles>
  <dxfs count="37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31" zoomScale="80" zoomScaleNormal="100" zoomScaleSheetLayoutView="80" workbookViewId="0">
      <selection activeCell="B45" sqref="B45:E50"/>
    </sheetView>
  </sheetViews>
  <sheetFormatPr defaultRowHeight="13.5" x14ac:dyDescent="0.25"/>
  <cols>
    <col min="1" max="1" width="33" style="225" customWidth="1"/>
    <col min="2" max="2" width="24.7109375" style="225" customWidth="1"/>
    <col min="3" max="3" width="31.85546875" style="225" customWidth="1"/>
    <col min="4" max="4" width="25.85546875" style="225" customWidth="1"/>
    <col min="5" max="5" width="25.7109375" style="225" customWidth="1"/>
    <col min="6" max="6" width="23.140625" style="225" customWidth="1"/>
    <col min="7" max="7" width="28.42578125" style="225" customWidth="1"/>
    <col min="8" max="8" width="21.5703125" style="225" customWidth="1"/>
    <col min="9" max="9" width="9.140625" style="225" customWidth="1"/>
    <col min="10" max="16384" width="9.140625" style="44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298" t="s">
        <v>0</v>
      </c>
      <c r="B15" s="298"/>
      <c r="C15" s="298"/>
      <c r="D15" s="298"/>
      <c r="E15" s="298"/>
    </row>
    <row r="16" spans="1:6" ht="16.5" customHeight="1" x14ac:dyDescent="0.3">
      <c r="A16" s="89" t="s">
        <v>1</v>
      </c>
      <c r="B16" s="59" t="s">
        <v>2</v>
      </c>
    </row>
    <row r="17" spans="1:5" ht="16.5" customHeight="1" x14ac:dyDescent="0.3">
      <c r="A17" s="8" t="s">
        <v>3</v>
      </c>
      <c r="B17" s="8" t="str">
        <f>Uniformity!C14</f>
        <v>Arteunate &amp; Amodiaquine Tablets</v>
      </c>
      <c r="D17" s="9"/>
      <c r="E17" s="71"/>
    </row>
    <row r="18" spans="1:5" ht="16.5" customHeight="1" x14ac:dyDescent="0.3">
      <c r="A18" s="74" t="s">
        <v>4</v>
      </c>
      <c r="B18" s="12" t="s">
        <v>125</v>
      </c>
      <c r="C18" s="71"/>
      <c r="D18" s="71"/>
      <c r="E18" s="71"/>
    </row>
    <row r="19" spans="1:5" ht="16.5" customHeight="1" x14ac:dyDescent="0.3">
      <c r="A19" s="74" t="s">
        <v>5</v>
      </c>
      <c r="B19" s="12">
        <v>99.9</v>
      </c>
      <c r="C19" s="71"/>
      <c r="D19" s="71"/>
      <c r="E19" s="71"/>
    </row>
    <row r="20" spans="1:5" ht="16.5" customHeight="1" x14ac:dyDescent="0.3">
      <c r="A20" s="8" t="s">
        <v>6</v>
      </c>
      <c r="B20" s="9">
        <v>27.22</v>
      </c>
      <c r="C20" s="71"/>
      <c r="D20" s="71"/>
      <c r="E20" s="71"/>
    </row>
    <row r="21" spans="1:5" ht="16.5" customHeight="1" x14ac:dyDescent="0.3">
      <c r="A21" s="8" t="s">
        <v>7</v>
      </c>
      <c r="B21" s="13">
        <f>B20/10*1/25</f>
        <v>0.10888</v>
      </c>
      <c r="C21" s="71"/>
      <c r="D21" s="71"/>
      <c r="E21" s="71"/>
    </row>
    <row r="22" spans="1:5" ht="15.75" customHeight="1" x14ac:dyDescent="0.25">
      <c r="A22" s="71"/>
      <c r="B22" s="71"/>
      <c r="C22" s="71"/>
      <c r="D22" s="71"/>
      <c r="E22" s="71"/>
    </row>
    <row r="23" spans="1:5" ht="16.5" customHeight="1" x14ac:dyDescent="0.3">
      <c r="A23" s="16" t="s">
        <v>8</v>
      </c>
      <c r="B23" s="15" t="s">
        <v>9</v>
      </c>
      <c r="C23" s="16" t="s">
        <v>10</v>
      </c>
      <c r="D23" s="16" t="s">
        <v>11</v>
      </c>
      <c r="E23" s="16" t="s">
        <v>12</v>
      </c>
    </row>
    <row r="24" spans="1:5" ht="16.5" customHeight="1" x14ac:dyDescent="0.3">
      <c r="A24" s="17">
        <v>1</v>
      </c>
      <c r="B24" s="18">
        <v>28822227</v>
      </c>
      <c r="C24" s="18">
        <v>2537.5</v>
      </c>
      <c r="D24" s="19">
        <v>2</v>
      </c>
      <c r="E24" s="20">
        <v>2</v>
      </c>
    </row>
    <row r="25" spans="1:5" ht="16.5" customHeight="1" x14ac:dyDescent="0.3">
      <c r="A25" s="17">
        <v>2</v>
      </c>
      <c r="B25" s="18">
        <v>28986515</v>
      </c>
      <c r="C25" s="18">
        <v>2549.6999999999998</v>
      </c>
      <c r="D25" s="19">
        <v>1.9</v>
      </c>
      <c r="E25" s="19">
        <v>2</v>
      </c>
    </row>
    <row r="26" spans="1:5" ht="16.5" customHeight="1" x14ac:dyDescent="0.3">
      <c r="A26" s="17">
        <v>3</v>
      </c>
      <c r="B26" s="18">
        <v>28910724</v>
      </c>
      <c r="C26" s="18">
        <v>2573.6999999999998</v>
      </c>
      <c r="D26" s="19">
        <v>1.9</v>
      </c>
      <c r="E26" s="19">
        <v>2</v>
      </c>
    </row>
    <row r="27" spans="1:5" ht="16.5" customHeight="1" x14ac:dyDescent="0.3">
      <c r="A27" s="17">
        <v>4</v>
      </c>
      <c r="B27" s="18">
        <v>28919077</v>
      </c>
      <c r="C27" s="18">
        <v>2590.1</v>
      </c>
      <c r="D27" s="19">
        <v>1.9</v>
      </c>
      <c r="E27" s="19">
        <v>2</v>
      </c>
    </row>
    <row r="28" spans="1:5" ht="16.5" customHeight="1" x14ac:dyDescent="0.3">
      <c r="A28" s="17">
        <v>5</v>
      </c>
      <c r="B28" s="18">
        <v>28943023</v>
      </c>
      <c r="C28" s="18">
        <v>2576.1999999999998</v>
      </c>
      <c r="D28" s="19">
        <v>1.9</v>
      </c>
      <c r="E28" s="19">
        <v>2</v>
      </c>
    </row>
    <row r="29" spans="1:5" ht="16.5" customHeight="1" x14ac:dyDescent="0.3">
      <c r="A29" s="17">
        <v>6</v>
      </c>
      <c r="B29" s="21">
        <v>28875805</v>
      </c>
      <c r="C29" s="21">
        <v>2574.1</v>
      </c>
      <c r="D29" s="22">
        <v>1.9</v>
      </c>
      <c r="E29" s="22">
        <v>2</v>
      </c>
    </row>
    <row r="30" spans="1:5" ht="16.5" customHeight="1" x14ac:dyDescent="0.3">
      <c r="A30" s="23" t="s">
        <v>13</v>
      </c>
      <c r="B30" s="24">
        <f>AVERAGE(B24:B29)</f>
        <v>28909561.833333332</v>
      </c>
      <c r="C30" s="25">
        <f>AVERAGE(C24:C29)</f>
        <v>2566.8833333333337</v>
      </c>
      <c r="D30" s="26">
        <f>AVERAGE(D24:D29)</f>
        <v>1.9166666666666667</v>
      </c>
      <c r="E30" s="26">
        <f>AVERAGE(E24:E29)</f>
        <v>2</v>
      </c>
    </row>
    <row r="31" spans="1:5" ht="16.5" customHeight="1" x14ac:dyDescent="0.3">
      <c r="A31" s="27" t="s">
        <v>14</v>
      </c>
      <c r="B31" s="28">
        <f>(STDEV(B24:B29)/B30)</f>
        <v>1.9506310361270915E-3</v>
      </c>
      <c r="C31" s="29"/>
      <c r="D31" s="29"/>
      <c r="E31" s="30"/>
    </row>
    <row r="32" spans="1:5" s="225" customFormat="1" ht="16.5" customHeight="1" x14ac:dyDescent="0.3">
      <c r="A32" s="31" t="s">
        <v>15</v>
      </c>
      <c r="B32" s="32">
        <f>COUNT(B24:B29)</f>
        <v>6</v>
      </c>
      <c r="C32" s="33"/>
      <c r="D32" s="72"/>
      <c r="E32" s="35"/>
    </row>
    <row r="33" spans="1:5" s="225" customFormat="1" ht="15.75" customHeight="1" x14ac:dyDescent="0.25">
      <c r="A33" s="71"/>
      <c r="B33" s="71"/>
      <c r="C33" s="71"/>
      <c r="D33" s="71"/>
      <c r="E33" s="71"/>
    </row>
    <row r="34" spans="1:5" s="225" customFormat="1" ht="16.5" customHeight="1" x14ac:dyDescent="0.3">
      <c r="A34" s="74" t="s">
        <v>16</v>
      </c>
      <c r="B34" s="40" t="s">
        <v>17</v>
      </c>
      <c r="C34" s="39"/>
      <c r="D34" s="39"/>
      <c r="E34" s="39"/>
    </row>
    <row r="35" spans="1:5" ht="16.5" customHeight="1" x14ac:dyDescent="0.3">
      <c r="A35" s="74"/>
      <c r="B35" s="40" t="s">
        <v>18</v>
      </c>
      <c r="C35" s="39"/>
      <c r="D35" s="39"/>
      <c r="E35" s="39"/>
    </row>
    <row r="36" spans="1:5" ht="16.5" customHeight="1" x14ac:dyDescent="0.3">
      <c r="A36" s="74"/>
      <c r="B36" s="40" t="s">
        <v>19</v>
      </c>
      <c r="C36" s="39"/>
      <c r="D36" s="39"/>
      <c r="E36" s="39"/>
    </row>
    <row r="37" spans="1:5" ht="15.75" customHeight="1" x14ac:dyDescent="0.25">
      <c r="A37" s="71"/>
      <c r="B37" s="71"/>
      <c r="C37" s="71"/>
      <c r="D37" s="71"/>
      <c r="E37" s="71"/>
    </row>
    <row r="38" spans="1:5" ht="16.5" customHeight="1" x14ac:dyDescent="0.3">
      <c r="A38" s="89" t="s">
        <v>1</v>
      </c>
      <c r="B38" s="59" t="s">
        <v>20</v>
      </c>
    </row>
    <row r="39" spans="1:5" ht="16.5" customHeight="1" x14ac:dyDescent="0.3">
      <c r="A39" s="74" t="s">
        <v>4</v>
      </c>
      <c r="B39" s="280" t="str">
        <f>B18</f>
        <v>Amodiaquine HCl</v>
      </c>
      <c r="C39" s="71"/>
      <c r="D39" s="71"/>
      <c r="E39" s="71"/>
    </row>
    <row r="40" spans="1:5" ht="16.5" customHeight="1" x14ac:dyDescent="0.3">
      <c r="A40" s="74" t="s">
        <v>5</v>
      </c>
      <c r="B40" s="12">
        <f>B19</f>
        <v>99.9</v>
      </c>
      <c r="C40" s="71"/>
      <c r="D40" s="71"/>
      <c r="E40" s="71"/>
    </row>
    <row r="41" spans="1:5" ht="16.5" customHeight="1" x14ac:dyDescent="0.3">
      <c r="A41" s="8" t="s">
        <v>6</v>
      </c>
      <c r="B41" s="12">
        <f>B20</f>
        <v>27.22</v>
      </c>
      <c r="C41" s="71"/>
      <c r="D41" s="71"/>
      <c r="E41" s="71"/>
    </row>
    <row r="42" spans="1:5" ht="16.5" customHeight="1" x14ac:dyDescent="0.3">
      <c r="A42" s="8" t="s">
        <v>7</v>
      </c>
      <c r="B42" s="13">
        <f>B21</f>
        <v>0.10888</v>
      </c>
      <c r="C42" s="71"/>
      <c r="D42" s="71"/>
      <c r="E42" s="71"/>
    </row>
    <row r="43" spans="1:5" ht="15.75" customHeight="1" x14ac:dyDescent="0.25">
      <c r="A43" s="71"/>
      <c r="B43" s="71"/>
      <c r="C43" s="71"/>
      <c r="D43" s="71"/>
      <c r="E43" s="71"/>
    </row>
    <row r="44" spans="1:5" ht="16.5" customHeight="1" x14ac:dyDescent="0.3">
      <c r="A44" s="16" t="s">
        <v>8</v>
      </c>
      <c r="B44" s="15" t="s">
        <v>9</v>
      </c>
      <c r="C44" s="16" t="s">
        <v>10</v>
      </c>
      <c r="D44" s="16" t="s">
        <v>11</v>
      </c>
      <c r="E44" s="16" t="s">
        <v>12</v>
      </c>
    </row>
    <row r="45" spans="1:5" ht="16.5" customHeight="1" x14ac:dyDescent="0.3">
      <c r="A45" s="17">
        <v>1</v>
      </c>
      <c r="B45" s="18">
        <v>28822227</v>
      </c>
      <c r="C45" s="18">
        <v>2537.5</v>
      </c>
      <c r="D45" s="19">
        <v>2</v>
      </c>
      <c r="E45" s="20">
        <v>2</v>
      </c>
    </row>
    <row r="46" spans="1:5" ht="16.5" customHeight="1" x14ac:dyDescent="0.3">
      <c r="A46" s="17">
        <v>2</v>
      </c>
      <c r="B46" s="18">
        <v>28986515</v>
      </c>
      <c r="C46" s="18">
        <v>2549.6999999999998</v>
      </c>
      <c r="D46" s="19">
        <v>1.9</v>
      </c>
      <c r="E46" s="19">
        <v>2</v>
      </c>
    </row>
    <row r="47" spans="1:5" ht="16.5" customHeight="1" x14ac:dyDescent="0.3">
      <c r="A47" s="17">
        <v>3</v>
      </c>
      <c r="B47" s="18">
        <v>28910724</v>
      </c>
      <c r="C47" s="18">
        <v>2573.6999999999998</v>
      </c>
      <c r="D47" s="19">
        <v>1.9</v>
      </c>
      <c r="E47" s="19">
        <v>2</v>
      </c>
    </row>
    <row r="48" spans="1:5" ht="16.5" customHeight="1" x14ac:dyDescent="0.3">
      <c r="A48" s="17">
        <v>4</v>
      </c>
      <c r="B48" s="18">
        <v>28919077</v>
      </c>
      <c r="C48" s="18">
        <v>2590.1</v>
      </c>
      <c r="D48" s="19">
        <v>1.9</v>
      </c>
      <c r="E48" s="19">
        <v>2</v>
      </c>
    </row>
    <row r="49" spans="1:7" ht="16.5" customHeight="1" x14ac:dyDescent="0.3">
      <c r="A49" s="17">
        <v>5</v>
      </c>
      <c r="B49" s="18">
        <v>28943023</v>
      </c>
      <c r="C49" s="18">
        <v>2576.1999999999998</v>
      </c>
      <c r="D49" s="19">
        <v>1.9</v>
      </c>
      <c r="E49" s="19">
        <v>2</v>
      </c>
    </row>
    <row r="50" spans="1:7" ht="16.5" customHeight="1" x14ac:dyDescent="0.3">
      <c r="A50" s="17">
        <v>6</v>
      </c>
      <c r="B50" s="21">
        <v>28875805</v>
      </c>
      <c r="C50" s="21">
        <v>2574.1</v>
      </c>
      <c r="D50" s="22">
        <v>1.9</v>
      </c>
      <c r="E50" s="22">
        <v>2</v>
      </c>
    </row>
    <row r="51" spans="1:7" ht="16.5" customHeight="1" x14ac:dyDescent="0.3">
      <c r="A51" s="23" t="s">
        <v>13</v>
      </c>
      <c r="B51" s="24">
        <f>AVERAGE(B45:B50)</f>
        <v>28909561.833333332</v>
      </c>
      <c r="C51" s="25">
        <f>AVERAGE(C45:C50)</f>
        <v>2566.8833333333337</v>
      </c>
      <c r="D51" s="26">
        <f>AVERAGE(D45:D50)</f>
        <v>1.9166666666666667</v>
      </c>
      <c r="E51" s="26">
        <f>AVERAGE(E45:E50)</f>
        <v>2</v>
      </c>
    </row>
    <row r="52" spans="1:7" ht="16.5" customHeight="1" x14ac:dyDescent="0.3">
      <c r="A52" s="27" t="s">
        <v>14</v>
      </c>
      <c r="B52" s="28">
        <f>(STDEV(B45:B50)/B51)</f>
        <v>1.9506310361270915E-3</v>
      </c>
      <c r="C52" s="29"/>
      <c r="D52" s="29"/>
      <c r="E52" s="30"/>
    </row>
    <row r="53" spans="1:7" s="225" customFormat="1" ht="16.5" customHeight="1" x14ac:dyDescent="0.3">
      <c r="A53" s="31" t="s">
        <v>15</v>
      </c>
      <c r="B53" s="32">
        <f>COUNT(B45:B50)</f>
        <v>6</v>
      </c>
      <c r="C53" s="33"/>
      <c r="D53" s="72"/>
      <c r="E53" s="35"/>
    </row>
    <row r="54" spans="1:7" s="225" customFormat="1" ht="15.75" customHeight="1" x14ac:dyDescent="0.25">
      <c r="A54" s="71"/>
      <c r="B54" s="71"/>
      <c r="C54" s="71"/>
      <c r="D54" s="71"/>
      <c r="E54" s="71"/>
    </row>
    <row r="55" spans="1:7" s="225" customFormat="1" ht="16.5" customHeight="1" x14ac:dyDescent="0.3">
      <c r="A55" s="74" t="s">
        <v>16</v>
      </c>
      <c r="B55" s="40" t="s">
        <v>17</v>
      </c>
      <c r="C55" s="39"/>
      <c r="D55" s="39"/>
      <c r="E55" s="39"/>
    </row>
    <row r="56" spans="1:7" ht="16.5" customHeight="1" x14ac:dyDescent="0.3">
      <c r="A56" s="74"/>
      <c r="B56" s="40" t="s">
        <v>18</v>
      </c>
      <c r="C56" s="39"/>
      <c r="D56" s="39"/>
      <c r="E56" s="39"/>
    </row>
    <row r="57" spans="1:7" ht="16.5" customHeight="1" x14ac:dyDescent="0.3">
      <c r="A57" s="74"/>
      <c r="B57" s="40" t="s">
        <v>19</v>
      </c>
      <c r="C57" s="39"/>
      <c r="D57" s="39"/>
      <c r="E57" s="39"/>
    </row>
    <row r="58" spans="1:7" ht="14.25" customHeight="1" thickBot="1" x14ac:dyDescent="0.3">
      <c r="A58" s="41"/>
      <c r="B58" s="149"/>
      <c r="D58" s="43"/>
      <c r="F58" s="44"/>
      <c r="G58" s="44"/>
    </row>
    <row r="59" spans="1:7" ht="15" customHeight="1" x14ac:dyDescent="0.3">
      <c r="B59" s="299" t="s">
        <v>21</v>
      </c>
      <c r="C59" s="299"/>
      <c r="E59" s="285" t="s">
        <v>22</v>
      </c>
      <c r="F59" s="46"/>
      <c r="G59" s="285" t="s">
        <v>23</v>
      </c>
    </row>
    <row r="60" spans="1:7" ht="15" customHeight="1" x14ac:dyDescent="0.3">
      <c r="A60" s="47" t="s">
        <v>24</v>
      </c>
      <c r="B60" s="295" t="s">
        <v>120</v>
      </c>
      <c r="C60" s="49"/>
      <c r="E60" s="292">
        <v>42339</v>
      </c>
      <c r="G60" s="49"/>
    </row>
    <row r="61" spans="1:7" ht="15" customHeight="1" x14ac:dyDescent="0.3">
      <c r="A61" s="47" t="s">
        <v>25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4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37" zoomScale="90" zoomScaleNormal="100" zoomScaleSheetLayoutView="90" workbookViewId="0">
      <selection activeCell="E45" sqref="E45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98" t="s">
        <v>0</v>
      </c>
      <c r="B15" s="298"/>
      <c r="C15" s="298"/>
      <c r="D15" s="298"/>
      <c r="E15" s="298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tr">
        <f>Uniformity!C14</f>
        <v>Arteunate &amp; Amodiaquine Tablets</v>
      </c>
      <c r="D17" s="9"/>
      <c r="E17" s="10"/>
    </row>
    <row r="18" spans="1:6" ht="16.5" customHeight="1" x14ac:dyDescent="0.3">
      <c r="A18" s="11" t="s">
        <v>4</v>
      </c>
      <c r="B18" s="12" t="s">
        <v>124</v>
      </c>
      <c r="C18" s="10"/>
      <c r="D18" s="10"/>
      <c r="E18" s="10"/>
    </row>
    <row r="19" spans="1:6" ht="16.5" customHeight="1" x14ac:dyDescent="0.3">
      <c r="A19" s="11" t="s">
        <v>5</v>
      </c>
      <c r="B19" s="12">
        <v>99.3</v>
      </c>
      <c r="C19" s="10"/>
      <c r="D19" s="10"/>
      <c r="E19" s="10"/>
    </row>
    <row r="20" spans="1:6" ht="16.5" customHeight="1" x14ac:dyDescent="0.3">
      <c r="A20" s="7" t="s">
        <v>6</v>
      </c>
      <c r="B20" s="9">
        <v>27.22</v>
      </c>
      <c r="C20" s="10"/>
      <c r="D20" s="10"/>
      <c r="E20" s="10"/>
    </row>
    <row r="21" spans="1:6" ht="16.5" customHeight="1" x14ac:dyDescent="0.3">
      <c r="A21" s="7" t="s">
        <v>7</v>
      </c>
      <c r="B21" s="13">
        <f>B20/10*1/25</f>
        <v>0.10888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8</v>
      </c>
      <c r="B23" s="15" t="s">
        <v>9</v>
      </c>
      <c r="C23" s="14" t="s">
        <v>10</v>
      </c>
      <c r="D23" s="14" t="s">
        <v>11</v>
      </c>
      <c r="E23" s="16" t="s">
        <v>12</v>
      </c>
    </row>
    <row r="24" spans="1:6" ht="16.5" customHeight="1" x14ac:dyDescent="0.3">
      <c r="A24" s="17">
        <v>1</v>
      </c>
      <c r="B24" s="18">
        <v>3175409</v>
      </c>
      <c r="C24" s="18">
        <v>8053.2</v>
      </c>
      <c r="D24" s="19">
        <v>1</v>
      </c>
      <c r="E24" s="20">
        <v>8.5</v>
      </c>
    </row>
    <row r="25" spans="1:6" ht="16.5" customHeight="1" x14ac:dyDescent="0.3">
      <c r="A25" s="17">
        <v>2</v>
      </c>
      <c r="B25" s="18">
        <v>3172253</v>
      </c>
      <c r="C25" s="18">
        <v>8024.7</v>
      </c>
      <c r="D25" s="19">
        <v>1</v>
      </c>
      <c r="E25" s="19">
        <v>8.5</v>
      </c>
    </row>
    <row r="26" spans="1:6" ht="16.5" customHeight="1" x14ac:dyDescent="0.3">
      <c r="A26" s="17">
        <v>3</v>
      </c>
      <c r="B26" s="18">
        <v>3177874</v>
      </c>
      <c r="C26" s="18">
        <v>8058.9</v>
      </c>
      <c r="D26" s="19">
        <v>1</v>
      </c>
      <c r="E26" s="19">
        <v>8.5</v>
      </c>
    </row>
    <row r="27" spans="1:6" ht="16.5" customHeight="1" x14ac:dyDescent="0.3">
      <c r="A27" s="17">
        <v>4</v>
      </c>
      <c r="B27" s="18">
        <v>3179284</v>
      </c>
      <c r="C27" s="18">
        <v>8077.6</v>
      </c>
      <c r="D27" s="19">
        <v>1</v>
      </c>
      <c r="E27" s="19">
        <v>8.5</v>
      </c>
    </row>
    <row r="28" spans="1:6" ht="16.5" customHeight="1" x14ac:dyDescent="0.3">
      <c r="A28" s="17">
        <v>5</v>
      </c>
      <c r="B28" s="18">
        <v>3178130</v>
      </c>
      <c r="C28" s="18">
        <v>8061.1</v>
      </c>
      <c r="D28" s="19">
        <v>1</v>
      </c>
      <c r="E28" s="19">
        <v>8.5</v>
      </c>
    </row>
    <row r="29" spans="1:6" ht="16.5" customHeight="1" x14ac:dyDescent="0.3">
      <c r="A29" s="17">
        <v>6</v>
      </c>
      <c r="B29" s="21">
        <v>3183344</v>
      </c>
      <c r="C29" s="21">
        <v>8100.5</v>
      </c>
      <c r="D29" s="22">
        <v>1</v>
      </c>
      <c r="E29" s="22">
        <v>8.5</v>
      </c>
    </row>
    <row r="30" spans="1:6" ht="16.5" customHeight="1" x14ac:dyDescent="0.3">
      <c r="A30" s="23" t="s">
        <v>13</v>
      </c>
      <c r="B30" s="24">
        <f>AVERAGE(B24:B29)</f>
        <v>3177715.6666666665</v>
      </c>
      <c r="C30" s="25">
        <f>AVERAGE(C24:C29)</f>
        <v>8062.666666666667</v>
      </c>
      <c r="D30" s="26">
        <f>AVERAGE(D24:D29)</f>
        <v>1</v>
      </c>
      <c r="E30" s="26">
        <f>AVERAGE(E24:E29)</f>
        <v>8.5</v>
      </c>
    </row>
    <row r="31" spans="1:6" ht="16.5" customHeight="1" x14ac:dyDescent="0.3">
      <c r="A31" s="27" t="s">
        <v>14</v>
      </c>
      <c r="B31" s="28">
        <f>(STDEV(B24:B29)/B30)</f>
        <v>1.1732209814323275E-3</v>
      </c>
      <c r="C31" s="29"/>
      <c r="D31" s="29"/>
      <c r="E31" s="30"/>
      <c r="F31" s="2"/>
    </row>
    <row r="32" spans="1:6" s="2" customFormat="1" ht="16.5" customHeight="1" x14ac:dyDescent="0.3">
      <c r="A32" s="31" t="s">
        <v>15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16</v>
      </c>
      <c r="B34" s="37" t="s">
        <v>17</v>
      </c>
      <c r="C34" s="38"/>
      <c r="D34" s="38"/>
      <c r="E34" s="39"/>
    </row>
    <row r="35" spans="1:6" ht="16.5" customHeight="1" x14ac:dyDescent="0.3">
      <c r="A35" s="11"/>
      <c r="B35" s="37" t="s">
        <v>18</v>
      </c>
      <c r="C35" s="38"/>
      <c r="D35" s="38"/>
      <c r="E35" s="39"/>
      <c r="F35" s="2"/>
    </row>
    <row r="36" spans="1:6" ht="16.5" customHeight="1" x14ac:dyDescent="0.3">
      <c r="A36" s="11"/>
      <c r="B36" s="40" t="s">
        <v>19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20</v>
      </c>
    </row>
    <row r="39" spans="1:6" ht="16.5" customHeight="1" x14ac:dyDescent="0.3">
      <c r="A39" s="11" t="s">
        <v>4</v>
      </c>
      <c r="B39" s="280" t="str">
        <f>B18</f>
        <v>Artesunate</v>
      </c>
      <c r="C39" s="10"/>
      <c r="D39" s="10"/>
      <c r="E39" s="10"/>
    </row>
    <row r="40" spans="1:6" ht="16.5" customHeight="1" x14ac:dyDescent="0.3">
      <c r="A40" s="11" t="s">
        <v>5</v>
      </c>
      <c r="B40" s="12">
        <f>B19</f>
        <v>99.3</v>
      </c>
      <c r="C40" s="10"/>
      <c r="D40" s="10"/>
      <c r="E40" s="10"/>
    </row>
    <row r="41" spans="1:6" ht="16.5" customHeight="1" x14ac:dyDescent="0.3">
      <c r="A41" s="7" t="s">
        <v>6</v>
      </c>
      <c r="B41" s="12">
        <f>B20</f>
        <v>27.22</v>
      </c>
      <c r="C41" s="10"/>
      <c r="D41" s="10"/>
      <c r="E41" s="10"/>
    </row>
    <row r="42" spans="1:6" ht="16.5" customHeight="1" x14ac:dyDescent="0.3">
      <c r="A42" s="7" t="s">
        <v>7</v>
      </c>
      <c r="B42" s="13">
        <f>B21</f>
        <v>0.10888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8</v>
      </c>
      <c r="B44" s="15" t="s">
        <v>9</v>
      </c>
      <c r="C44" s="14" t="s">
        <v>10</v>
      </c>
      <c r="D44" s="14" t="s">
        <v>11</v>
      </c>
      <c r="E44" s="16" t="s">
        <v>12</v>
      </c>
    </row>
    <row r="45" spans="1:6" ht="16.5" customHeight="1" x14ac:dyDescent="0.3">
      <c r="A45" s="17">
        <v>1</v>
      </c>
      <c r="B45" s="18">
        <v>3175409</v>
      </c>
      <c r="C45" s="18">
        <v>8053.2</v>
      </c>
      <c r="D45" s="19">
        <v>1</v>
      </c>
      <c r="E45" s="20">
        <v>8.5</v>
      </c>
    </row>
    <row r="46" spans="1:6" ht="16.5" customHeight="1" x14ac:dyDescent="0.3">
      <c r="A46" s="17">
        <v>2</v>
      </c>
      <c r="B46" s="18">
        <v>3172253</v>
      </c>
      <c r="C46" s="18">
        <v>8024.7</v>
      </c>
      <c r="D46" s="19">
        <v>1</v>
      </c>
      <c r="E46" s="19">
        <v>8.5</v>
      </c>
    </row>
    <row r="47" spans="1:6" ht="16.5" customHeight="1" x14ac:dyDescent="0.3">
      <c r="A47" s="17">
        <v>3</v>
      </c>
      <c r="B47" s="18">
        <v>3177874</v>
      </c>
      <c r="C47" s="18">
        <v>8058.9</v>
      </c>
      <c r="D47" s="19">
        <v>1</v>
      </c>
      <c r="E47" s="19">
        <v>8.5</v>
      </c>
    </row>
    <row r="48" spans="1:6" ht="16.5" customHeight="1" x14ac:dyDescent="0.3">
      <c r="A48" s="17">
        <v>4</v>
      </c>
      <c r="B48" s="18">
        <v>3179284</v>
      </c>
      <c r="C48" s="18">
        <v>8077.6</v>
      </c>
      <c r="D48" s="19">
        <v>1</v>
      </c>
      <c r="E48" s="19">
        <v>8.5</v>
      </c>
    </row>
    <row r="49" spans="1:7" ht="16.5" customHeight="1" x14ac:dyDescent="0.3">
      <c r="A49" s="17">
        <v>5</v>
      </c>
      <c r="B49" s="18">
        <v>3178130</v>
      </c>
      <c r="C49" s="18">
        <v>8061.1</v>
      </c>
      <c r="D49" s="19">
        <v>1</v>
      </c>
      <c r="E49" s="19">
        <v>8.5</v>
      </c>
    </row>
    <row r="50" spans="1:7" ht="16.5" customHeight="1" x14ac:dyDescent="0.3">
      <c r="A50" s="17">
        <v>6</v>
      </c>
      <c r="B50" s="21">
        <v>3183344</v>
      </c>
      <c r="C50" s="21">
        <v>8100.5</v>
      </c>
      <c r="D50" s="22">
        <v>1</v>
      </c>
      <c r="E50" s="22">
        <v>8.5</v>
      </c>
    </row>
    <row r="51" spans="1:7" ht="16.5" customHeight="1" x14ac:dyDescent="0.3">
      <c r="A51" s="23" t="s">
        <v>13</v>
      </c>
      <c r="B51" s="24">
        <f>AVERAGE(B45:B50)</f>
        <v>3177715.6666666665</v>
      </c>
      <c r="C51" s="25">
        <f>AVERAGE(C45:C50)</f>
        <v>8062.666666666667</v>
      </c>
      <c r="D51" s="26">
        <f>AVERAGE(D45:D50)</f>
        <v>1</v>
      </c>
      <c r="E51" s="26">
        <f>AVERAGE(E45:E50)</f>
        <v>8.5</v>
      </c>
    </row>
    <row r="52" spans="1:7" ht="16.5" customHeight="1" x14ac:dyDescent="0.3">
      <c r="A52" s="27" t="s">
        <v>14</v>
      </c>
      <c r="B52" s="28">
        <f>(STDEV(B45:B50)/B51)</f>
        <v>1.1732209814323275E-3</v>
      </c>
      <c r="C52" s="29"/>
      <c r="D52" s="29"/>
      <c r="E52" s="30"/>
      <c r="F52" s="2"/>
    </row>
    <row r="53" spans="1:7" s="2" customFormat="1" ht="16.5" customHeight="1" x14ac:dyDescent="0.3">
      <c r="A53" s="31" t="s">
        <v>15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16</v>
      </c>
      <c r="B55" s="37" t="s">
        <v>17</v>
      </c>
      <c r="C55" s="38"/>
      <c r="D55" s="38"/>
      <c r="E55" s="39"/>
    </row>
    <row r="56" spans="1:7" ht="16.5" customHeight="1" x14ac:dyDescent="0.3">
      <c r="A56" s="11"/>
      <c r="B56" s="37" t="s">
        <v>18</v>
      </c>
      <c r="C56" s="38"/>
      <c r="D56" s="38"/>
      <c r="E56" s="39"/>
      <c r="F56" s="2"/>
    </row>
    <row r="57" spans="1:7" ht="16.5" customHeight="1" x14ac:dyDescent="0.3">
      <c r="A57" s="11"/>
      <c r="B57" s="40" t="s">
        <v>19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99" t="s">
        <v>21</v>
      </c>
      <c r="C59" s="299"/>
      <c r="E59" s="45" t="s">
        <v>22</v>
      </c>
      <c r="F59" s="46"/>
      <c r="G59" s="45" t="s">
        <v>23</v>
      </c>
    </row>
    <row r="60" spans="1:7" ht="15" customHeight="1" x14ac:dyDescent="0.3">
      <c r="A60" s="47" t="s">
        <v>24</v>
      </c>
      <c r="B60" s="295" t="s">
        <v>120</v>
      </c>
      <c r="C60" s="48"/>
      <c r="E60" s="292">
        <v>42339</v>
      </c>
      <c r="F60" s="2"/>
      <c r="G60" s="49"/>
    </row>
    <row r="61" spans="1:7" ht="15" customHeight="1" x14ac:dyDescent="0.3">
      <c r="A61" s="47" t="s">
        <v>25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workbookViewId="0">
      <selection activeCell="F23" sqref="F23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303" t="s">
        <v>26</v>
      </c>
      <c r="B11" s="304"/>
      <c r="C11" s="304"/>
      <c r="D11" s="304"/>
      <c r="E11" s="304"/>
      <c r="F11" s="305"/>
      <c r="G11" s="90"/>
    </row>
    <row r="12" spans="1:7" ht="16.5" customHeight="1" x14ac:dyDescent="0.3">
      <c r="A12" s="302" t="s">
        <v>27</v>
      </c>
      <c r="B12" s="302"/>
      <c r="C12" s="302"/>
      <c r="D12" s="302"/>
      <c r="E12" s="302"/>
      <c r="F12" s="302"/>
      <c r="G12" s="89"/>
    </row>
    <row r="14" spans="1:7" ht="16.5" customHeight="1" x14ac:dyDescent="0.3">
      <c r="A14" s="307" t="s">
        <v>28</v>
      </c>
      <c r="B14" s="307"/>
      <c r="C14" s="60" t="s">
        <v>122</v>
      </c>
    </row>
    <row r="15" spans="1:7" ht="16.5" customHeight="1" x14ac:dyDescent="0.3">
      <c r="A15" s="307" t="s">
        <v>29</v>
      </c>
      <c r="B15" s="307"/>
      <c r="C15" s="60" t="s">
        <v>130</v>
      </c>
    </row>
    <row r="16" spans="1:7" ht="16.5" customHeight="1" x14ac:dyDescent="0.3">
      <c r="A16" s="307" t="s">
        <v>30</v>
      </c>
      <c r="B16" s="307"/>
      <c r="C16" s="60" t="s">
        <v>123</v>
      </c>
    </row>
    <row r="17" spans="1:5" ht="16.5" customHeight="1" x14ac:dyDescent="0.3">
      <c r="A17" s="307" t="s">
        <v>31</v>
      </c>
      <c r="B17" s="307"/>
      <c r="C17" s="60" t="s">
        <v>131</v>
      </c>
    </row>
    <row r="18" spans="1:5" ht="16.5" customHeight="1" x14ac:dyDescent="0.3">
      <c r="A18" s="307" t="s">
        <v>32</v>
      </c>
      <c r="B18" s="307"/>
      <c r="C18" s="96">
        <v>42312</v>
      </c>
    </row>
    <row r="19" spans="1:5" ht="16.5" customHeight="1" x14ac:dyDescent="0.3">
      <c r="A19" s="307" t="s">
        <v>33</v>
      </c>
      <c r="B19" s="307"/>
      <c r="C19" s="96">
        <v>42338</v>
      </c>
    </row>
    <row r="20" spans="1:5" ht="16.5" customHeight="1" x14ac:dyDescent="0.3">
      <c r="A20" s="62"/>
      <c r="B20" s="62"/>
      <c r="C20" s="76"/>
    </row>
    <row r="21" spans="1:5" ht="16.5" customHeight="1" x14ac:dyDescent="0.3">
      <c r="A21" s="302" t="s">
        <v>1</v>
      </c>
      <c r="B21" s="302"/>
      <c r="C21" s="59" t="s">
        <v>34</v>
      </c>
      <c r="D21" s="66"/>
    </row>
    <row r="22" spans="1:5" ht="15.75" customHeight="1" x14ac:dyDescent="0.3">
      <c r="A22" s="306"/>
      <c r="B22" s="306"/>
      <c r="C22" s="57"/>
      <c r="D22" s="306"/>
      <c r="E22" s="306"/>
    </row>
    <row r="23" spans="1:5" ht="33.75" customHeight="1" x14ac:dyDescent="0.3">
      <c r="C23" s="85" t="s">
        <v>35</v>
      </c>
      <c r="D23" s="84" t="s">
        <v>36</v>
      </c>
      <c r="E23" s="52"/>
    </row>
    <row r="24" spans="1:5" ht="15.75" customHeight="1" x14ac:dyDescent="0.3">
      <c r="C24" s="94">
        <v>355.92</v>
      </c>
      <c r="D24" s="86">
        <f t="shared" ref="D24:D43" si="0">(C24-$C$46)/$C$46</f>
        <v>9.5446100608415959E-3</v>
      </c>
      <c r="E24" s="53"/>
    </row>
    <row r="25" spans="1:5" ht="15.75" customHeight="1" x14ac:dyDescent="0.3">
      <c r="C25" s="94">
        <v>347.48</v>
      </c>
      <c r="D25" s="87">
        <f t="shared" si="0"/>
        <v>-1.43949171051325E-2</v>
      </c>
      <c r="E25" s="53"/>
    </row>
    <row r="26" spans="1:5" ht="15.75" customHeight="1" x14ac:dyDescent="0.3">
      <c r="C26" s="94">
        <v>350.23</v>
      </c>
      <c r="D26" s="87">
        <f t="shared" si="0"/>
        <v>-6.5947157181148715E-3</v>
      </c>
      <c r="E26" s="53"/>
    </row>
    <row r="27" spans="1:5" ht="15.75" customHeight="1" x14ac:dyDescent="0.3">
      <c r="C27" s="94">
        <v>361.12</v>
      </c>
      <c r="D27" s="87">
        <f t="shared" si="0"/>
        <v>2.4294081774474896E-2</v>
      </c>
      <c r="E27" s="53"/>
    </row>
    <row r="28" spans="1:5" ht="15.75" customHeight="1" x14ac:dyDescent="0.3">
      <c r="C28" s="94">
        <v>352.01</v>
      </c>
      <c r="D28" s="87">
        <f t="shared" si="0"/>
        <v>-1.5458580930635389E-3</v>
      </c>
      <c r="E28" s="53"/>
    </row>
    <row r="29" spans="1:5" ht="15.75" customHeight="1" x14ac:dyDescent="0.3">
      <c r="C29" s="94">
        <v>350.11</v>
      </c>
      <c r="D29" s="87">
        <f t="shared" si="0"/>
        <v>-6.9350881422756538E-3</v>
      </c>
      <c r="E29" s="53"/>
    </row>
    <row r="30" spans="1:5" ht="15.75" customHeight="1" x14ac:dyDescent="0.3">
      <c r="C30" s="94">
        <v>345.22</v>
      </c>
      <c r="D30" s="87">
        <f t="shared" si="0"/>
        <v>-2.0805264426826963E-2</v>
      </c>
      <c r="E30" s="53"/>
    </row>
    <row r="31" spans="1:5" ht="15.75" customHeight="1" x14ac:dyDescent="0.3">
      <c r="C31" s="94">
        <v>352.66</v>
      </c>
      <c r="D31" s="87">
        <f t="shared" si="0"/>
        <v>2.9782587114072465E-4</v>
      </c>
      <c r="E31" s="53"/>
    </row>
    <row r="32" spans="1:5" ht="15.75" customHeight="1" x14ac:dyDescent="0.3">
      <c r="C32" s="94">
        <v>353.98</v>
      </c>
      <c r="D32" s="87">
        <f t="shared" si="0"/>
        <v>4.0419225369091672E-3</v>
      </c>
      <c r="E32" s="53"/>
    </row>
    <row r="33" spans="1:7" ht="15.75" customHeight="1" x14ac:dyDescent="0.3">
      <c r="C33" s="94">
        <v>356.47</v>
      </c>
      <c r="D33" s="87">
        <f t="shared" si="0"/>
        <v>1.1104650338245155E-2</v>
      </c>
      <c r="E33" s="53"/>
    </row>
    <row r="34" spans="1:7" ht="15.75" customHeight="1" x14ac:dyDescent="0.3">
      <c r="C34" s="94">
        <v>349.4</v>
      </c>
      <c r="D34" s="87">
        <f t="shared" si="0"/>
        <v>-8.9489583185603083E-3</v>
      </c>
      <c r="E34" s="53"/>
    </row>
    <row r="35" spans="1:7" ht="15.75" customHeight="1" x14ac:dyDescent="0.3">
      <c r="C35" s="94">
        <v>349.06</v>
      </c>
      <c r="D35" s="87">
        <f t="shared" si="0"/>
        <v>-9.9133468536824164E-3</v>
      </c>
      <c r="E35" s="53"/>
    </row>
    <row r="36" spans="1:7" ht="15.75" customHeight="1" x14ac:dyDescent="0.3">
      <c r="C36" s="94">
        <v>352.14</v>
      </c>
      <c r="D36" s="87">
        <f t="shared" si="0"/>
        <v>-1.1771213002227184E-3</v>
      </c>
      <c r="E36" s="53"/>
    </row>
    <row r="37" spans="1:7" ht="15.75" customHeight="1" x14ac:dyDescent="0.3">
      <c r="C37" s="94">
        <v>357.05</v>
      </c>
      <c r="D37" s="87">
        <f t="shared" si="0"/>
        <v>1.2749783721688827E-2</v>
      </c>
      <c r="E37" s="53"/>
    </row>
    <row r="38" spans="1:7" ht="15.75" customHeight="1" x14ac:dyDescent="0.3">
      <c r="C38" s="94">
        <v>351.25</v>
      </c>
      <c r="D38" s="87">
        <f t="shared" si="0"/>
        <v>-3.7015501127483849E-3</v>
      </c>
      <c r="E38" s="53"/>
    </row>
    <row r="39" spans="1:7" ht="15.75" customHeight="1" x14ac:dyDescent="0.3">
      <c r="C39" s="94">
        <v>351.52</v>
      </c>
      <c r="D39" s="87">
        <f t="shared" si="0"/>
        <v>-2.9357121583867057E-3</v>
      </c>
      <c r="E39" s="53"/>
    </row>
    <row r="40" spans="1:7" ht="15.75" customHeight="1" x14ac:dyDescent="0.3">
      <c r="C40" s="94">
        <v>354.39</v>
      </c>
      <c r="D40" s="87">
        <f t="shared" si="0"/>
        <v>5.2048616527917051E-3</v>
      </c>
      <c r="E40" s="53"/>
    </row>
    <row r="41" spans="1:7" ht="15.75" customHeight="1" x14ac:dyDescent="0.3">
      <c r="C41" s="94">
        <v>353.19</v>
      </c>
      <c r="D41" s="87">
        <f t="shared" si="0"/>
        <v>1.8011374111840447E-3</v>
      </c>
      <c r="E41" s="53"/>
    </row>
    <row r="42" spans="1:7" ht="15.75" customHeight="1" x14ac:dyDescent="0.3">
      <c r="C42" s="94">
        <v>351.2</v>
      </c>
      <c r="D42" s="87">
        <f t="shared" si="0"/>
        <v>-3.8433719561487374E-3</v>
      </c>
      <c r="E42" s="53"/>
    </row>
    <row r="43" spans="1:7" ht="16.5" customHeight="1" x14ac:dyDescent="0.3">
      <c r="C43" s="95">
        <v>356.7</v>
      </c>
      <c r="D43" s="88">
        <f t="shared" si="0"/>
        <v>1.1757030817886519E-2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1" t="s">
        <v>37</v>
      </c>
      <c r="C45" s="82">
        <f>SUM(C24:C44)</f>
        <v>7051.1</v>
      </c>
      <c r="D45" s="77"/>
      <c r="E45" s="54"/>
    </row>
    <row r="46" spans="1:7" ht="17.25" customHeight="1" x14ac:dyDescent="0.3">
      <c r="B46" s="81" t="s">
        <v>38</v>
      </c>
      <c r="C46" s="83">
        <f>AVERAGE(C24:C44)</f>
        <v>352.55500000000001</v>
      </c>
      <c r="E46" s="56"/>
    </row>
    <row r="47" spans="1:7" ht="17.25" customHeight="1" x14ac:dyDescent="0.3">
      <c r="A47" s="60"/>
      <c r="B47" s="78"/>
      <c r="D47" s="58"/>
      <c r="E47" s="56"/>
    </row>
    <row r="48" spans="1:7" ht="33.75" customHeight="1" x14ac:dyDescent="0.3">
      <c r="B48" s="91" t="s">
        <v>38</v>
      </c>
      <c r="C48" s="84" t="s">
        <v>39</v>
      </c>
      <c r="D48" s="79"/>
      <c r="G48" s="58"/>
    </row>
    <row r="49" spans="1:6" ht="17.25" customHeight="1" x14ac:dyDescent="0.3">
      <c r="B49" s="300">
        <f>C46</f>
        <v>352.55500000000001</v>
      </c>
      <c r="C49" s="92">
        <f>-IF(C46&lt;=80,10%,IF(C46&lt;250,7.5%,5%))</f>
        <v>-0.05</v>
      </c>
      <c r="D49" s="80">
        <f>IF(C46&lt;=80,C46*0.9,IF(C46&lt;250,C46*0.925,C46*0.95))</f>
        <v>334.92725000000002</v>
      </c>
    </row>
    <row r="50" spans="1:6" ht="17.25" customHeight="1" x14ac:dyDescent="0.3">
      <c r="B50" s="301"/>
      <c r="C50" s="93">
        <f>IF(C46&lt;=80, 10%, IF(C46&lt;250, 7.5%, 5%))</f>
        <v>0.05</v>
      </c>
      <c r="D50" s="80">
        <f>IF(C46&lt;=80, C46*1.1, IF(C46&lt;250, C46*1.075, C46*1.05))</f>
        <v>370.18275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21</v>
      </c>
      <c r="C52" s="67"/>
      <c r="D52" s="68" t="s">
        <v>22</v>
      </c>
      <c r="E52" s="69"/>
      <c r="F52" s="68" t="s">
        <v>23</v>
      </c>
    </row>
    <row r="53" spans="1:6" ht="34.5" customHeight="1" x14ac:dyDescent="0.3">
      <c r="A53" s="70" t="s">
        <v>24</v>
      </c>
      <c r="B53" s="294" t="s">
        <v>120</v>
      </c>
      <c r="C53" s="71"/>
      <c r="D53" s="293">
        <v>42339</v>
      </c>
      <c r="E53" s="61"/>
      <c r="F53" s="72"/>
    </row>
    <row r="54" spans="1:6" ht="34.5" customHeight="1" x14ac:dyDescent="0.3">
      <c r="A54" s="70" t="s">
        <v>25</v>
      </c>
      <c r="B54" s="73"/>
      <c r="C54" s="74"/>
      <c r="D54" s="73"/>
      <c r="E54" s="61"/>
      <c r="F54" s="75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6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5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4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3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2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1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0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9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8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7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6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5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4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3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2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1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0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9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8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7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6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topLeftCell="A46" zoomScale="60" zoomScaleNormal="40" zoomScalePageLayoutView="50" workbookViewId="0">
      <selection activeCell="B109" sqref="B109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08" t="s">
        <v>40</v>
      </c>
      <c r="B1" s="308"/>
      <c r="C1" s="308"/>
      <c r="D1" s="308"/>
      <c r="E1" s="308"/>
      <c r="F1" s="308"/>
      <c r="G1" s="308"/>
      <c r="H1" s="308"/>
      <c r="I1" s="308"/>
    </row>
    <row r="2" spans="1:9" ht="18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</row>
    <row r="3" spans="1:9" ht="18.75" customHeight="1" x14ac:dyDescent="0.25">
      <c r="A3" s="308"/>
      <c r="B3" s="308"/>
      <c r="C3" s="308"/>
      <c r="D3" s="308"/>
      <c r="E3" s="308"/>
      <c r="F3" s="308"/>
      <c r="G3" s="308"/>
      <c r="H3" s="308"/>
      <c r="I3" s="308"/>
    </row>
    <row r="4" spans="1:9" ht="18.75" customHeight="1" x14ac:dyDescent="0.25">
      <c r="A4" s="308"/>
      <c r="B4" s="308"/>
      <c r="C4" s="308"/>
      <c r="D4" s="308"/>
      <c r="E4" s="308"/>
      <c r="F4" s="308"/>
      <c r="G4" s="308"/>
      <c r="H4" s="308"/>
      <c r="I4" s="308"/>
    </row>
    <row r="5" spans="1:9" ht="18.75" customHeight="1" x14ac:dyDescent="0.25">
      <c r="A5" s="308"/>
      <c r="B5" s="308"/>
      <c r="C5" s="308"/>
      <c r="D5" s="308"/>
      <c r="E5" s="308"/>
      <c r="F5" s="308"/>
      <c r="G5" s="308"/>
      <c r="H5" s="308"/>
      <c r="I5" s="308"/>
    </row>
    <row r="6" spans="1:9" ht="18.75" customHeight="1" x14ac:dyDescent="0.25">
      <c r="A6" s="308"/>
      <c r="B6" s="308"/>
      <c r="C6" s="308"/>
      <c r="D6" s="308"/>
      <c r="E6" s="308"/>
      <c r="F6" s="308"/>
      <c r="G6" s="308"/>
      <c r="H6" s="308"/>
      <c r="I6" s="308"/>
    </row>
    <row r="7" spans="1:9" ht="18.75" customHeight="1" x14ac:dyDescent="0.25">
      <c r="A7" s="308"/>
      <c r="B7" s="308"/>
      <c r="C7" s="308"/>
      <c r="D7" s="308"/>
      <c r="E7" s="308"/>
      <c r="F7" s="308"/>
      <c r="G7" s="308"/>
      <c r="H7" s="308"/>
      <c r="I7" s="308"/>
    </row>
    <row r="8" spans="1:9" x14ac:dyDescent="0.25">
      <c r="A8" s="309" t="s">
        <v>41</v>
      </c>
      <c r="B8" s="309"/>
      <c r="C8" s="309"/>
      <c r="D8" s="309"/>
      <c r="E8" s="309"/>
      <c r="F8" s="309"/>
      <c r="G8" s="309"/>
      <c r="H8" s="309"/>
      <c r="I8" s="309"/>
    </row>
    <row r="9" spans="1:9" x14ac:dyDescent="0.25">
      <c r="A9" s="309"/>
      <c r="B9" s="309"/>
      <c r="C9" s="309"/>
      <c r="D9" s="309"/>
      <c r="E9" s="309"/>
      <c r="F9" s="309"/>
      <c r="G9" s="309"/>
      <c r="H9" s="309"/>
      <c r="I9" s="309"/>
    </row>
    <row r="10" spans="1:9" x14ac:dyDescent="0.25">
      <c r="A10" s="309"/>
      <c r="B10" s="309"/>
      <c r="C10" s="309"/>
      <c r="D10" s="309"/>
      <c r="E10" s="309"/>
      <c r="F10" s="309"/>
      <c r="G10" s="309"/>
      <c r="H10" s="309"/>
      <c r="I10" s="309"/>
    </row>
    <row r="11" spans="1:9" x14ac:dyDescent="0.25">
      <c r="A11" s="309"/>
      <c r="B11" s="309"/>
      <c r="C11" s="309"/>
      <c r="D11" s="309"/>
      <c r="E11" s="309"/>
      <c r="F11" s="309"/>
      <c r="G11" s="309"/>
      <c r="H11" s="309"/>
      <c r="I11" s="309"/>
    </row>
    <row r="12" spans="1:9" x14ac:dyDescent="0.25">
      <c r="A12" s="309"/>
      <c r="B12" s="309"/>
      <c r="C12" s="309"/>
      <c r="D12" s="309"/>
      <c r="E12" s="309"/>
      <c r="F12" s="309"/>
      <c r="G12" s="309"/>
      <c r="H12" s="309"/>
      <c r="I12" s="309"/>
    </row>
    <row r="13" spans="1:9" x14ac:dyDescent="0.25">
      <c r="A13" s="309"/>
      <c r="B13" s="309"/>
      <c r="C13" s="309"/>
      <c r="D13" s="309"/>
      <c r="E13" s="309"/>
      <c r="F13" s="309"/>
      <c r="G13" s="309"/>
      <c r="H13" s="309"/>
      <c r="I13" s="309"/>
    </row>
    <row r="14" spans="1:9" x14ac:dyDescent="0.25">
      <c r="A14" s="309"/>
      <c r="B14" s="309"/>
      <c r="C14" s="309"/>
      <c r="D14" s="309"/>
      <c r="E14" s="309"/>
      <c r="F14" s="309"/>
      <c r="G14" s="309"/>
      <c r="H14" s="309"/>
      <c r="I14" s="309"/>
    </row>
    <row r="15" spans="1:9" ht="19.5" customHeight="1" x14ac:dyDescent="0.3">
      <c r="A15" s="97"/>
    </row>
    <row r="16" spans="1:9" ht="19.5" customHeight="1" x14ac:dyDescent="0.3">
      <c r="A16" s="341" t="s">
        <v>26</v>
      </c>
      <c r="B16" s="342"/>
      <c r="C16" s="342"/>
      <c r="D16" s="342"/>
      <c r="E16" s="342"/>
      <c r="F16" s="342"/>
      <c r="G16" s="342"/>
      <c r="H16" s="343"/>
    </row>
    <row r="17" spans="1:14" ht="20.25" customHeight="1" x14ac:dyDescent="0.25">
      <c r="A17" s="344" t="s">
        <v>42</v>
      </c>
      <c r="B17" s="344"/>
      <c r="C17" s="344"/>
      <c r="D17" s="344"/>
      <c r="E17" s="344"/>
      <c r="F17" s="344"/>
      <c r="G17" s="344"/>
      <c r="H17" s="344"/>
    </row>
    <row r="18" spans="1:14" ht="26.25" customHeight="1" x14ac:dyDescent="0.4">
      <c r="A18" s="99" t="s">
        <v>28</v>
      </c>
      <c r="B18" s="340" t="s">
        <v>121</v>
      </c>
      <c r="C18" s="340"/>
      <c r="D18" s="268"/>
      <c r="E18" s="100"/>
      <c r="F18" s="101"/>
      <c r="G18" s="101"/>
      <c r="H18" s="101"/>
    </row>
    <row r="19" spans="1:14" ht="26.25" customHeight="1" x14ac:dyDescent="0.4">
      <c r="A19" s="99" t="s">
        <v>29</v>
      </c>
      <c r="B19" s="102" t="str">
        <f>Uniformity!C15</f>
        <v>NDQD201508225</v>
      </c>
      <c r="C19" s="270">
        <v>21</v>
      </c>
      <c r="D19" s="101"/>
      <c r="E19" s="101"/>
      <c r="F19" s="101"/>
      <c r="G19" s="101"/>
      <c r="H19" s="101"/>
    </row>
    <row r="20" spans="1:14" ht="26.25" customHeight="1" x14ac:dyDescent="0.4">
      <c r="A20" s="99" t="s">
        <v>30</v>
      </c>
      <c r="B20" s="345" t="s">
        <v>128</v>
      </c>
      <c r="C20" s="345"/>
      <c r="D20" s="101"/>
      <c r="E20" s="101"/>
      <c r="F20" s="101"/>
      <c r="G20" s="101"/>
      <c r="H20" s="101"/>
    </row>
    <row r="21" spans="1:14" ht="26.25" customHeight="1" x14ac:dyDescent="0.4">
      <c r="A21" s="99" t="s">
        <v>31</v>
      </c>
      <c r="B21" s="345" t="str">
        <f>Uniformity!C17</f>
        <v>Each bilayered tablet contains Artesunate 50mg and Amodiaquine 135mg</v>
      </c>
      <c r="C21" s="345"/>
      <c r="D21" s="345"/>
      <c r="E21" s="345"/>
      <c r="F21" s="345"/>
      <c r="G21" s="345"/>
      <c r="H21" s="345"/>
      <c r="I21" s="103"/>
    </row>
    <row r="22" spans="1:14" ht="26.25" customHeight="1" x14ac:dyDescent="0.4">
      <c r="A22" s="99" t="s">
        <v>32</v>
      </c>
      <c r="B22" s="104">
        <f>Uniformity!C18</f>
        <v>42312</v>
      </c>
      <c r="C22" s="101"/>
      <c r="D22" s="101"/>
      <c r="E22" s="101"/>
      <c r="F22" s="101"/>
      <c r="G22" s="101"/>
      <c r="H22" s="101"/>
    </row>
    <row r="23" spans="1:14" ht="26.25" customHeight="1" x14ac:dyDescent="0.4">
      <c r="A23" s="99" t="s">
        <v>33</v>
      </c>
      <c r="B23" s="104">
        <f>Uniformity!C19</f>
        <v>42338</v>
      </c>
      <c r="C23" s="101"/>
      <c r="D23" s="101"/>
      <c r="E23" s="101"/>
      <c r="F23" s="101"/>
      <c r="G23" s="101"/>
      <c r="H23" s="101"/>
    </row>
    <row r="24" spans="1:14" ht="18.75" x14ac:dyDescent="0.3">
      <c r="A24" s="99"/>
      <c r="B24" s="105"/>
    </row>
    <row r="25" spans="1:14" ht="18.75" x14ac:dyDescent="0.3">
      <c r="A25" s="106" t="s">
        <v>1</v>
      </c>
      <c r="B25" s="105"/>
    </row>
    <row r="26" spans="1:14" ht="26.25" customHeight="1" x14ac:dyDescent="0.4">
      <c r="A26" s="107" t="s">
        <v>4</v>
      </c>
      <c r="B26" s="340" t="s">
        <v>125</v>
      </c>
      <c r="C26" s="340"/>
    </row>
    <row r="27" spans="1:14" ht="26.25" customHeight="1" x14ac:dyDescent="0.4">
      <c r="A27" s="108" t="s">
        <v>43</v>
      </c>
      <c r="B27" s="337" t="s">
        <v>126</v>
      </c>
      <c r="C27" s="337"/>
    </row>
    <row r="28" spans="1:14" ht="27" customHeight="1" x14ac:dyDescent="0.4">
      <c r="A28" s="108" t="s">
        <v>5</v>
      </c>
      <c r="B28" s="109">
        <v>99.9</v>
      </c>
    </row>
    <row r="29" spans="1:14" s="14" customFormat="1" ht="27" customHeight="1" x14ac:dyDescent="0.4">
      <c r="A29" s="108" t="s">
        <v>44</v>
      </c>
      <c r="B29" s="110">
        <v>0</v>
      </c>
      <c r="C29" s="316" t="s">
        <v>45</v>
      </c>
      <c r="D29" s="317"/>
      <c r="E29" s="317"/>
      <c r="F29" s="317"/>
      <c r="G29" s="318"/>
      <c r="I29" s="111"/>
      <c r="J29" s="111"/>
      <c r="K29" s="111"/>
      <c r="L29" s="111"/>
    </row>
    <row r="30" spans="1:14" s="14" customFormat="1" ht="19.5" customHeight="1" x14ac:dyDescent="0.4">
      <c r="A30" s="108" t="s">
        <v>46</v>
      </c>
      <c r="B30" s="297">
        <f>B28-B29</f>
        <v>99.9</v>
      </c>
      <c r="C30" s="113"/>
      <c r="D30" s="113"/>
      <c r="E30" s="113"/>
      <c r="F30" s="113"/>
      <c r="G30" s="114"/>
      <c r="I30" s="111"/>
      <c r="J30" s="111"/>
      <c r="K30" s="111"/>
      <c r="L30" s="111"/>
    </row>
    <row r="31" spans="1:14" s="14" customFormat="1" ht="27" customHeight="1" x14ac:dyDescent="0.4">
      <c r="A31" s="108" t="s">
        <v>47</v>
      </c>
      <c r="B31" s="115">
        <f>B32-35.5-35.5-2</f>
        <v>355.79</v>
      </c>
      <c r="C31" s="319" t="s">
        <v>48</v>
      </c>
      <c r="D31" s="320"/>
      <c r="E31" s="320"/>
      <c r="F31" s="320"/>
      <c r="G31" s="320"/>
      <c r="H31" s="321"/>
      <c r="I31" s="111"/>
      <c r="J31" s="111"/>
      <c r="K31" s="111"/>
      <c r="L31" s="111"/>
    </row>
    <row r="32" spans="1:14" s="14" customFormat="1" ht="27" customHeight="1" x14ac:dyDescent="0.4">
      <c r="A32" s="108" t="s">
        <v>49</v>
      </c>
      <c r="B32" s="115">
        <v>428.79</v>
      </c>
      <c r="C32" s="319" t="s">
        <v>50</v>
      </c>
      <c r="D32" s="320"/>
      <c r="E32" s="320"/>
      <c r="F32" s="320"/>
      <c r="G32" s="320"/>
      <c r="H32" s="321"/>
      <c r="I32" s="111"/>
      <c r="J32" s="111"/>
      <c r="K32" s="111"/>
      <c r="L32" s="116"/>
      <c r="M32" s="116"/>
      <c r="N32" s="117"/>
    </row>
    <row r="33" spans="1:14" s="14" customFormat="1" ht="17.25" customHeight="1" x14ac:dyDescent="0.3">
      <c r="A33" s="108"/>
      <c r="B33" s="118"/>
      <c r="C33" s="119"/>
      <c r="D33" s="119"/>
      <c r="E33" s="119"/>
      <c r="F33" s="119"/>
      <c r="G33" s="119"/>
      <c r="H33" s="119"/>
      <c r="I33" s="111"/>
      <c r="J33" s="111"/>
      <c r="K33" s="111"/>
      <c r="L33" s="116"/>
      <c r="M33" s="116"/>
      <c r="N33" s="117"/>
    </row>
    <row r="34" spans="1:14" s="14" customFormat="1" ht="18.75" x14ac:dyDescent="0.3">
      <c r="A34" s="108" t="s">
        <v>51</v>
      </c>
      <c r="B34" s="120">
        <f>B31/B32</f>
        <v>0.82975349238555007</v>
      </c>
      <c r="C34" s="98" t="s">
        <v>52</v>
      </c>
      <c r="D34" s="98"/>
      <c r="E34" s="98"/>
      <c r="F34" s="98"/>
      <c r="G34" s="98"/>
      <c r="I34" s="111"/>
      <c r="J34" s="111"/>
      <c r="K34" s="111"/>
      <c r="L34" s="116"/>
      <c r="M34" s="116"/>
      <c r="N34" s="117"/>
    </row>
    <row r="35" spans="1:14" s="14" customFormat="1" ht="19.5" customHeight="1" x14ac:dyDescent="0.3">
      <c r="A35" s="108"/>
      <c r="B35" s="112"/>
      <c r="G35" s="98"/>
      <c r="I35" s="111"/>
      <c r="J35" s="111"/>
      <c r="K35" s="111"/>
      <c r="L35" s="116"/>
      <c r="M35" s="116"/>
      <c r="N35" s="117"/>
    </row>
    <row r="36" spans="1:14" s="14" customFormat="1" ht="27" customHeight="1" x14ac:dyDescent="0.4">
      <c r="A36" s="121" t="s">
        <v>53</v>
      </c>
      <c r="B36" s="122">
        <v>25</v>
      </c>
      <c r="C36" s="98"/>
      <c r="D36" s="322" t="s">
        <v>54</v>
      </c>
      <c r="E36" s="339"/>
      <c r="F36" s="322" t="s">
        <v>55</v>
      </c>
      <c r="G36" s="323"/>
      <c r="J36" s="111"/>
      <c r="K36" s="111"/>
      <c r="L36" s="116"/>
      <c r="M36" s="116"/>
      <c r="N36" s="117"/>
    </row>
    <row r="37" spans="1:14" s="14" customFormat="1" ht="27" customHeight="1" x14ac:dyDescent="0.4">
      <c r="A37" s="123" t="s">
        <v>56</v>
      </c>
      <c r="B37" s="124">
        <v>4</v>
      </c>
      <c r="C37" s="125" t="s">
        <v>57</v>
      </c>
      <c r="D37" s="126" t="s">
        <v>58</v>
      </c>
      <c r="E37" s="127" t="s">
        <v>59</v>
      </c>
      <c r="F37" s="126" t="s">
        <v>58</v>
      </c>
      <c r="G37" s="128" t="s">
        <v>59</v>
      </c>
      <c r="I37" s="129" t="s">
        <v>60</v>
      </c>
      <c r="J37" s="111"/>
      <c r="K37" s="111"/>
      <c r="L37" s="116"/>
      <c r="M37" s="116"/>
      <c r="N37" s="117"/>
    </row>
    <row r="38" spans="1:14" s="14" customFormat="1" ht="26.25" customHeight="1" x14ac:dyDescent="0.4">
      <c r="A38" s="123" t="s">
        <v>61</v>
      </c>
      <c r="B38" s="124">
        <v>10</v>
      </c>
      <c r="C38" s="130">
        <v>1</v>
      </c>
      <c r="D38" s="124">
        <v>28263753</v>
      </c>
      <c r="E38" s="132">
        <f>IF(ISBLANK(D38),"-",$D$48/$D$45*D38)</f>
        <v>36119627.064291582</v>
      </c>
      <c r="F38" s="131">
        <v>31331416</v>
      </c>
      <c r="G38" s="133">
        <f>IF(ISBLANK(F38),"-",$D$48/$F$45*F38)</f>
        <v>36011534.171574496</v>
      </c>
      <c r="I38" s="134"/>
      <c r="J38" s="111"/>
      <c r="K38" s="111"/>
      <c r="L38" s="116"/>
      <c r="M38" s="116"/>
      <c r="N38" s="117"/>
    </row>
    <row r="39" spans="1:14" s="14" customFormat="1" ht="26.25" customHeight="1" x14ac:dyDescent="0.4">
      <c r="A39" s="123" t="s">
        <v>62</v>
      </c>
      <c r="B39" s="124">
        <v>1</v>
      </c>
      <c r="C39" s="135">
        <v>2</v>
      </c>
      <c r="D39" s="124">
        <v>28348561</v>
      </c>
      <c r="E39" s="137">
        <f>IF(ISBLANK(D39),"-",$D$48/$D$45*D39)</f>
        <v>36228007.33962404</v>
      </c>
      <c r="F39" s="136">
        <v>31286024</v>
      </c>
      <c r="G39" s="138">
        <f>IF(ISBLANK(F39),"-",$D$48/$F$45*F39)</f>
        <v>35959361.75909508</v>
      </c>
      <c r="I39" s="324">
        <f>ABS((F43/D43*D42)-F42)/D42</f>
        <v>6.0930626725696291E-3</v>
      </c>
      <c r="J39" s="111"/>
      <c r="K39" s="111"/>
      <c r="L39" s="116"/>
      <c r="M39" s="116"/>
      <c r="N39" s="117"/>
    </row>
    <row r="40" spans="1:14" ht="26.25" customHeight="1" x14ac:dyDescent="0.4">
      <c r="A40" s="123" t="s">
        <v>63</v>
      </c>
      <c r="B40" s="124">
        <v>1</v>
      </c>
      <c r="C40" s="135">
        <v>3</v>
      </c>
      <c r="D40" s="124">
        <v>28310763</v>
      </c>
      <c r="E40" s="137">
        <f>IF(ISBLANK(D40),"-",$D$48/$D$45*D40)</f>
        <v>36179703.433777697</v>
      </c>
      <c r="F40" s="136">
        <v>31288065</v>
      </c>
      <c r="G40" s="138">
        <f>IF(ISBLANK(F40),"-",$D$48/$F$45*F40)</f>
        <v>35961707.632682286</v>
      </c>
      <c r="I40" s="324"/>
      <c r="L40" s="116"/>
      <c r="M40" s="116"/>
      <c r="N40" s="139"/>
    </row>
    <row r="41" spans="1:14" ht="27" customHeight="1" x14ac:dyDescent="0.4">
      <c r="A41" s="123" t="s">
        <v>64</v>
      </c>
      <c r="B41" s="124">
        <v>1</v>
      </c>
      <c r="C41" s="140">
        <v>4</v>
      </c>
      <c r="D41" s="141"/>
      <c r="E41" s="142" t="str">
        <f>IF(ISBLANK(D41),"-",$D$48/$D$45*D41)</f>
        <v>-</v>
      </c>
      <c r="F41" s="141"/>
      <c r="G41" s="143" t="str">
        <f>IF(ISBLANK(F41),"-",$D$48/$F$45*F41)</f>
        <v>-</v>
      </c>
      <c r="I41" s="144"/>
      <c r="L41" s="116"/>
      <c r="M41" s="116"/>
      <c r="N41" s="139"/>
    </row>
    <row r="42" spans="1:14" ht="27" customHeight="1" x14ac:dyDescent="0.4">
      <c r="A42" s="123" t="s">
        <v>65</v>
      </c>
      <c r="B42" s="124">
        <v>1</v>
      </c>
      <c r="C42" s="145" t="s">
        <v>66</v>
      </c>
      <c r="D42" s="146">
        <f>AVERAGE(D38:D41)</f>
        <v>28307692.333333332</v>
      </c>
      <c r="E42" s="147">
        <f>AVERAGE(E38:E41)</f>
        <v>36175779.279231101</v>
      </c>
      <c r="F42" s="146">
        <f>AVERAGE(F38:F41)</f>
        <v>31301835</v>
      </c>
      <c r="G42" s="148">
        <f>AVERAGE(G38:G41)</f>
        <v>35977534.521117292</v>
      </c>
      <c r="H42" s="149"/>
    </row>
    <row r="43" spans="1:14" ht="26.25" customHeight="1" x14ac:dyDescent="0.4">
      <c r="A43" s="123" t="s">
        <v>67</v>
      </c>
      <c r="B43" s="124">
        <v>1</v>
      </c>
      <c r="C43" s="150" t="s">
        <v>68</v>
      </c>
      <c r="D43" s="151">
        <v>11.8</v>
      </c>
      <c r="E43" s="139"/>
      <c r="F43" s="151">
        <v>13.12</v>
      </c>
      <c r="H43" s="149"/>
    </row>
    <row r="44" spans="1:14" ht="26.25" customHeight="1" x14ac:dyDescent="0.4">
      <c r="A44" s="123" t="s">
        <v>69</v>
      </c>
      <c r="B44" s="124">
        <v>1</v>
      </c>
      <c r="C44" s="152" t="s">
        <v>70</v>
      </c>
      <c r="D44" s="153">
        <f>D43*$B$34</f>
        <v>9.7910912101494922</v>
      </c>
      <c r="E44" s="154"/>
      <c r="F44" s="153">
        <f>F43*$B$34</f>
        <v>10.886365820098415</v>
      </c>
      <c r="H44" s="149"/>
    </row>
    <row r="45" spans="1:14" ht="19.5" customHeight="1" x14ac:dyDescent="0.3">
      <c r="A45" s="123" t="s">
        <v>71</v>
      </c>
      <c r="B45" s="155">
        <f>(B44/B43)*(B42/B41)*(B40/B39)*(B38/B37)*B36</f>
        <v>62.5</v>
      </c>
      <c r="C45" s="152" t="s">
        <v>72</v>
      </c>
      <c r="D45" s="156">
        <f>D44*$B$30/100</f>
        <v>9.7813001189393436</v>
      </c>
      <c r="E45" s="157"/>
      <c r="F45" s="156">
        <f>F44*$B$30/100</f>
        <v>10.875479454278318</v>
      </c>
      <c r="H45" s="149"/>
    </row>
    <row r="46" spans="1:14" ht="19.5" customHeight="1" x14ac:dyDescent="0.3">
      <c r="A46" s="310" t="s">
        <v>73</v>
      </c>
      <c r="B46" s="311"/>
      <c r="C46" s="152" t="s">
        <v>74</v>
      </c>
      <c r="D46" s="158">
        <f>D45/$B$45</f>
        <v>0.15650080190302951</v>
      </c>
      <c r="E46" s="159"/>
      <c r="F46" s="160">
        <f>F45/$B$45</f>
        <v>0.1740076712684531</v>
      </c>
      <c r="H46" s="149"/>
    </row>
    <row r="47" spans="1:14" ht="27" customHeight="1" x14ac:dyDescent="0.4">
      <c r="A47" s="312"/>
      <c r="B47" s="313"/>
      <c r="C47" s="161" t="s">
        <v>75</v>
      </c>
      <c r="D47" s="162">
        <v>0.2</v>
      </c>
      <c r="E47" s="163"/>
      <c r="F47" s="159"/>
      <c r="H47" s="149"/>
    </row>
    <row r="48" spans="1:14" ht="18.75" x14ac:dyDescent="0.3">
      <c r="C48" s="164" t="s">
        <v>76</v>
      </c>
      <c r="D48" s="156">
        <f>D47*$B$45</f>
        <v>12.5</v>
      </c>
      <c r="F48" s="165"/>
      <c r="H48" s="149"/>
    </row>
    <row r="49" spans="1:12" ht="19.5" customHeight="1" x14ac:dyDescent="0.3">
      <c r="C49" s="166" t="s">
        <v>77</v>
      </c>
      <c r="D49" s="167">
        <f>D48/B34</f>
        <v>15.064715140953933</v>
      </c>
      <c r="F49" s="165"/>
      <c r="H49" s="149"/>
    </row>
    <row r="50" spans="1:12" ht="18.75" x14ac:dyDescent="0.3">
      <c r="C50" s="121" t="s">
        <v>78</v>
      </c>
      <c r="D50" s="168">
        <f>AVERAGE(E38:E41,G38:G41)</f>
        <v>36076656.900174193</v>
      </c>
      <c r="F50" s="169"/>
      <c r="H50" s="149"/>
    </row>
    <row r="51" spans="1:12" ht="18.75" x14ac:dyDescent="0.3">
      <c r="C51" s="123" t="s">
        <v>79</v>
      </c>
      <c r="D51" s="170">
        <f>STDEV(E38:E41,G38:G41)/D50</f>
        <v>3.1987114382929713E-3</v>
      </c>
      <c r="F51" s="169"/>
      <c r="H51" s="149"/>
    </row>
    <row r="52" spans="1:12" ht="19.5" customHeight="1" x14ac:dyDescent="0.3">
      <c r="C52" s="171" t="s">
        <v>15</v>
      </c>
      <c r="D52" s="172">
        <f>COUNT(E38:E41,G38:G41)</f>
        <v>6</v>
      </c>
      <c r="F52" s="169"/>
    </row>
    <row r="54" spans="1:12" ht="18.75" x14ac:dyDescent="0.3">
      <c r="A54" s="173" t="s">
        <v>1</v>
      </c>
      <c r="B54" s="174" t="s">
        <v>80</v>
      </c>
    </row>
    <row r="55" spans="1:12" ht="18.75" x14ac:dyDescent="0.3">
      <c r="A55" s="98" t="s">
        <v>81</v>
      </c>
      <c r="B55" s="175" t="str">
        <f>B21</f>
        <v>Each bilayered tablet contains Artesunate 50mg and Amodiaquine 135mg</v>
      </c>
    </row>
    <row r="56" spans="1:12" ht="26.25" customHeight="1" x14ac:dyDescent="0.4">
      <c r="A56" s="176" t="s">
        <v>82</v>
      </c>
      <c r="B56" s="177">
        <v>135</v>
      </c>
      <c r="C56" s="98" t="str">
        <f>B20</f>
        <v>Amodiaquine</v>
      </c>
      <c r="H56" s="178"/>
    </row>
    <row r="57" spans="1:12" ht="18.75" x14ac:dyDescent="0.3">
      <c r="A57" s="175" t="s">
        <v>83</v>
      </c>
      <c r="B57" s="269">
        <f>Uniformity!C46</f>
        <v>352.55500000000001</v>
      </c>
      <c r="H57" s="178"/>
    </row>
    <row r="58" spans="1:12" ht="19.5" customHeight="1" x14ac:dyDescent="0.3">
      <c r="H58" s="178"/>
    </row>
    <row r="59" spans="1:12" s="14" customFormat="1" ht="27" customHeight="1" x14ac:dyDescent="0.4">
      <c r="A59" s="121" t="s">
        <v>84</v>
      </c>
      <c r="B59" s="122">
        <v>100</v>
      </c>
      <c r="C59" s="98"/>
      <c r="D59" s="179" t="s">
        <v>85</v>
      </c>
      <c r="E59" s="180" t="s">
        <v>57</v>
      </c>
      <c r="F59" s="180" t="s">
        <v>58</v>
      </c>
      <c r="G59" s="180" t="s">
        <v>86</v>
      </c>
      <c r="H59" s="125" t="s">
        <v>87</v>
      </c>
      <c r="L59" s="111"/>
    </row>
    <row r="60" spans="1:12" s="14" customFormat="1" ht="26.25" customHeight="1" x14ac:dyDescent="0.4">
      <c r="A60" s="123" t="s">
        <v>88</v>
      </c>
      <c r="B60" s="124">
        <v>3</v>
      </c>
      <c r="C60" s="327" t="s">
        <v>89</v>
      </c>
      <c r="D60" s="330">
        <v>355.54</v>
      </c>
      <c r="E60" s="181">
        <v>1</v>
      </c>
      <c r="F60" s="182">
        <v>39305080</v>
      </c>
      <c r="G60" s="271">
        <f>IF(ISBLANK(F60),"-",(F60/$D$50*$D$47*$B$68)*($B$57/$D$60))</f>
        <v>144.04545018762127</v>
      </c>
      <c r="H60" s="183">
        <f>IF(ISBLANK(F60),"-",G60/$B$56)</f>
        <v>1.0670033347231205</v>
      </c>
      <c r="L60" s="111"/>
    </row>
    <row r="61" spans="1:12" s="14" customFormat="1" ht="26.25" customHeight="1" x14ac:dyDescent="0.4">
      <c r="A61" s="123" t="s">
        <v>90</v>
      </c>
      <c r="B61" s="124">
        <v>20</v>
      </c>
      <c r="C61" s="328"/>
      <c r="D61" s="331"/>
      <c r="E61" s="184">
        <v>2</v>
      </c>
      <c r="F61" s="136">
        <v>38913905</v>
      </c>
      <c r="G61" s="272">
        <f>IF(ISBLANK(F61),"-",(F61/$D$50*$D$47*$B$68)*($B$57/$D$60))</f>
        <v>142.61187012679602</v>
      </c>
      <c r="H61" s="185">
        <f t="shared" ref="H61:H71" si="0">IF(ISBLANK(F61),"-",G61/$B$56)</f>
        <v>1.056384223161452</v>
      </c>
      <c r="L61" s="111"/>
    </row>
    <row r="62" spans="1:12" s="14" customFormat="1" ht="26.25" customHeight="1" x14ac:dyDescent="0.4">
      <c r="A62" s="123" t="s">
        <v>91</v>
      </c>
      <c r="B62" s="124">
        <v>1</v>
      </c>
      <c r="C62" s="328"/>
      <c r="D62" s="331"/>
      <c r="E62" s="184">
        <v>3</v>
      </c>
      <c r="F62" s="186">
        <v>39198972</v>
      </c>
      <c r="G62" s="272">
        <f>IF(ISBLANK(F62),"-",(F62/$D$50*$D$47*$B$68)*($B$57/$D$60))</f>
        <v>143.65658506818866</v>
      </c>
      <c r="H62" s="185">
        <f t="shared" si="0"/>
        <v>1.064122852356953</v>
      </c>
      <c r="L62" s="111"/>
    </row>
    <row r="63" spans="1:12" ht="27" customHeight="1" x14ac:dyDescent="0.4">
      <c r="A63" s="123" t="s">
        <v>92</v>
      </c>
      <c r="B63" s="124">
        <v>1</v>
      </c>
      <c r="C63" s="338"/>
      <c r="D63" s="332"/>
      <c r="E63" s="187">
        <v>4</v>
      </c>
      <c r="F63" s="188"/>
      <c r="G63" s="272" t="str">
        <f>IF(ISBLANK(F63),"-",(F63/$D$50*$D$47*$B$68)*($B$57/$D$60))</f>
        <v>-</v>
      </c>
      <c r="H63" s="185" t="str">
        <f t="shared" si="0"/>
        <v>-</v>
      </c>
    </row>
    <row r="64" spans="1:12" ht="26.25" customHeight="1" x14ac:dyDescent="0.4">
      <c r="A64" s="123" t="s">
        <v>93</v>
      </c>
      <c r="B64" s="124">
        <v>1</v>
      </c>
      <c r="C64" s="327" t="s">
        <v>94</v>
      </c>
      <c r="D64" s="330">
        <v>345.82</v>
      </c>
      <c r="E64" s="181">
        <v>1</v>
      </c>
      <c r="F64" s="182">
        <v>37302299</v>
      </c>
      <c r="G64" s="273">
        <f>IF(ISBLANK(F64),"-",(F64/$D$50*$D$47*$B$68)*($B$57/$D$64))</f>
        <v>140.54804893720575</v>
      </c>
      <c r="H64" s="189">
        <f>IF(ISBLANK(F64),"-",G64/$B$56)</f>
        <v>1.0410966587941166</v>
      </c>
    </row>
    <row r="65" spans="1:8" ht="26.25" customHeight="1" x14ac:dyDescent="0.4">
      <c r="A65" s="123" t="s">
        <v>95</v>
      </c>
      <c r="B65" s="124">
        <v>1</v>
      </c>
      <c r="C65" s="328"/>
      <c r="D65" s="331"/>
      <c r="E65" s="184">
        <v>2</v>
      </c>
      <c r="F65" s="136">
        <v>37459041</v>
      </c>
      <c r="G65" s="274">
        <f>IF(ISBLANK(F65),"-",(F65/$D$50*$D$47*$B$68)*($B$57/$D$64))</f>
        <v>141.13862332208527</v>
      </c>
      <c r="H65" s="190">
        <f t="shared" si="0"/>
        <v>1.0454712838672984</v>
      </c>
    </row>
    <row r="66" spans="1:8" ht="26.25" customHeight="1" x14ac:dyDescent="0.4">
      <c r="A66" s="123" t="s">
        <v>96</v>
      </c>
      <c r="B66" s="124">
        <v>1</v>
      </c>
      <c r="C66" s="328"/>
      <c r="D66" s="331"/>
      <c r="E66" s="184">
        <v>3</v>
      </c>
      <c r="F66" s="136">
        <v>37393227</v>
      </c>
      <c r="G66" s="274">
        <f>IF(ISBLANK(F66),"-",(F66/$D$50*$D$47*$B$68)*($B$57/$D$64))</f>
        <v>140.89064854463911</v>
      </c>
      <c r="H66" s="190">
        <f t="shared" si="0"/>
        <v>1.0436344336639933</v>
      </c>
    </row>
    <row r="67" spans="1:8" ht="27" customHeight="1" x14ac:dyDescent="0.4">
      <c r="A67" s="123" t="s">
        <v>97</v>
      </c>
      <c r="B67" s="124">
        <v>1</v>
      </c>
      <c r="C67" s="338"/>
      <c r="D67" s="332"/>
      <c r="E67" s="187">
        <v>4</v>
      </c>
      <c r="F67" s="188"/>
      <c r="G67" s="275" t="str">
        <f>IF(ISBLANK(F67),"-",(F67/$D$50*$D$47*$B$68)*($B$57/$D$64))</f>
        <v>-</v>
      </c>
      <c r="H67" s="191" t="str">
        <f t="shared" si="0"/>
        <v>-</v>
      </c>
    </row>
    <row r="68" spans="1:8" ht="26.25" customHeight="1" x14ac:dyDescent="0.4">
      <c r="A68" s="123" t="s">
        <v>98</v>
      </c>
      <c r="B68" s="192">
        <f>(B67/B66)*(B65/B64)*(B63/B62)*(B61/B60)*B59</f>
        <v>666.66666666666674</v>
      </c>
      <c r="C68" s="327" t="s">
        <v>99</v>
      </c>
      <c r="D68" s="330">
        <v>353.06</v>
      </c>
      <c r="E68" s="181">
        <v>1</v>
      </c>
      <c r="F68" s="182"/>
      <c r="G68" s="273" t="str">
        <f>IF(ISBLANK(F68),"-",(F68/$D$50*$D$47*$B$68)*($B$57/$D$68))</f>
        <v>-</v>
      </c>
      <c r="H68" s="185" t="str">
        <f>IF(ISBLANK(F68),"-",G68/$B$56)</f>
        <v>-</v>
      </c>
    </row>
    <row r="69" spans="1:8" ht="27" customHeight="1" x14ac:dyDescent="0.4">
      <c r="A69" s="171" t="s">
        <v>100</v>
      </c>
      <c r="B69" s="193">
        <f>(D47*B68)/B56*B57</f>
        <v>348.20246913580252</v>
      </c>
      <c r="C69" s="328"/>
      <c r="D69" s="331"/>
      <c r="E69" s="184">
        <v>2</v>
      </c>
      <c r="F69" s="136"/>
      <c r="G69" s="274" t="str">
        <f>IF(ISBLANK(F69),"-",(F69/$D$50*$D$47*$B$68)*($B$57/$D$68))</f>
        <v>-</v>
      </c>
      <c r="H69" s="185" t="str">
        <f t="shared" si="0"/>
        <v>-</v>
      </c>
    </row>
    <row r="70" spans="1:8" ht="26.25" customHeight="1" x14ac:dyDescent="0.4">
      <c r="A70" s="333" t="s">
        <v>73</v>
      </c>
      <c r="B70" s="334"/>
      <c r="C70" s="328"/>
      <c r="D70" s="331"/>
      <c r="E70" s="184">
        <v>3</v>
      </c>
      <c r="F70" s="136"/>
      <c r="G70" s="274" t="str">
        <f>IF(ISBLANK(F70),"-",(F70/$D$50*$D$47*$B$68)*($B$57/$D$68))</f>
        <v>-</v>
      </c>
      <c r="H70" s="185" t="str">
        <f t="shared" si="0"/>
        <v>-</v>
      </c>
    </row>
    <row r="71" spans="1:8" ht="27" customHeight="1" x14ac:dyDescent="0.4">
      <c r="A71" s="335"/>
      <c r="B71" s="336"/>
      <c r="C71" s="329"/>
      <c r="D71" s="332"/>
      <c r="E71" s="187">
        <v>4</v>
      </c>
      <c r="F71" s="188"/>
      <c r="G71" s="275" t="str">
        <f>IF(ISBLANK(F71),"-",(F71/$D$50*$D$47*$B$68)*($B$57/$D$68))</f>
        <v>-</v>
      </c>
      <c r="H71" s="194" t="str">
        <f t="shared" si="0"/>
        <v>-</v>
      </c>
    </row>
    <row r="72" spans="1:8" ht="26.25" customHeight="1" x14ac:dyDescent="0.4">
      <c r="A72" s="195"/>
      <c r="B72" s="195"/>
      <c r="C72" s="195"/>
      <c r="D72" s="195"/>
      <c r="E72" s="195"/>
      <c r="F72" s="196"/>
      <c r="G72" s="197" t="s">
        <v>66</v>
      </c>
      <c r="H72" s="198">
        <f>AVERAGE(H60:H71)</f>
        <v>1.0529521310944892</v>
      </c>
    </row>
    <row r="73" spans="1:8" ht="26.25" customHeight="1" x14ac:dyDescent="0.4">
      <c r="C73" s="195"/>
      <c r="D73" s="195"/>
      <c r="E73" s="195"/>
      <c r="F73" s="196"/>
      <c r="G73" s="199" t="s">
        <v>79</v>
      </c>
      <c r="H73" s="276">
        <f>STDEV(H60:H71)/H72</f>
        <v>1.0552781660998354E-2</v>
      </c>
    </row>
    <row r="74" spans="1:8" ht="27" customHeight="1" x14ac:dyDescent="0.4">
      <c r="A74" s="195"/>
      <c r="B74" s="195"/>
      <c r="C74" s="196"/>
      <c r="D74" s="196"/>
      <c r="E74" s="200"/>
      <c r="F74" s="196"/>
      <c r="G74" s="201" t="s">
        <v>15</v>
      </c>
      <c r="H74" s="202">
        <f>COUNT(H60:H71)</f>
        <v>6</v>
      </c>
    </row>
    <row r="76" spans="1:8" ht="26.25" customHeight="1" x14ac:dyDescent="0.4">
      <c r="A76" s="107" t="s">
        <v>101</v>
      </c>
      <c r="B76" s="203" t="s">
        <v>102</v>
      </c>
      <c r="C76" s="314" t="str">
        <f>B20</f>
        <v>Amodiaquine</v>
      </c>
      <c r="D76" s="314"/>
      <c r="E76" s="204" t="s">
        <v>103</v>
      </c>
      <c r="F76" s="204"/>
      <c r="G76" s="205">
        <f>H72</f>
        <v>1.0529521310944892</v>
      </c>
      <c r="H76" s="206"/>
    </row>
    <row r="77" spans="1:8" ht="18.75" x14ac:dyDescent="0.3">
      <c r="A77" s="106" t="s">
        <v>104</v>
      </c>
      <c r="B77" s="106" t="s">
        <v>105</v>
      </c>
    </row>
    <row r="78" spans="1:8" ht="18.75" x14ac:dyDescent="0.3">
      <c r="A78" s="106"/>
      <c r="B78" s="106"/>
    </row>
    <row r="79" spans="1:8" ht="26.25" customHeight="1" x14ac:dyDescent="0.4">
      <c r="A79" s="107" t="s">
        <v>4</v>
      </c>
      <c r="B79" s="337" t="str">
        <f>B26</f>
        <v>Amodiaquine HCl</v>
      </c>
      <c r="C79" s="337"/>
    </row>
    <row r="80" spans="1:8" ht="26.25" customHeight="1" x14ac:dyDescent="0.4">
      <c r="A80" s="108" t="s">
        <v>43</v>
      </c>
      <c r="B80" s="337" t="str">
        <f>B27</f>
        <v>A7 1</v>
      </c>
      <c r="C80" s="337"/>
    </row>
    <row r="81" spans="1:12" ht="27" customHeight="1" x14ac:dyDescent="0.4">
      <c r="A81" s="108" t="s">
        <v>5</v>
      </c>
      <c r="B81" s="207">
        <f>B28</f>
        <v>99.9</v>
      </c>
    </row>
    <row r="82" spans="1:12" s="14" customFormat="1" ht="27" customHeight="1" x14ac:dyDescent="0.4">
      <c r="A82" s="108" t="s">
        <v>44</v>
      </c>
      <c r="B82" s="110">
        <v>0</v>
      </c>
      <c r="C82" s="316" t="s">
        <v>45</v>
      </c>
      <c r="D82" s="317"/>
      <c r="E82" s="317"/>
      <c r="F82" s="317"/>
      <c r="G82" s="318"/>
      <c r="I82" s="111"/>
      <c r="J82" s="111"/>
      <c r="K82" s="111"/>
      <c r="L82" s="111"/>
    </row>
    <row r="83" spans="1:12" s="14" customFormat="1" ht="19.5" customHeight="1" x14ac:dyDescent="0.3">
      <c r="A83" s="108" t="s">
        <v>46</v>
      </c>
      <c r="B83" s="112">
        <f>B81-B82</f>
        <v>99.9</v>
      </c>
      <c r="C83" s="113"/>
      <c r="D83" s="113"/>
      <c r="E83" s="113"/>
      <c r="F83" s="113"/>
      <c r="G83" s="114"/>
      <c r="I83" s="111"/>
      <c r="J83" s="111"/>
      <c r="K83" s="111"/>
      <c r="L83" s="111"/>
    </row>
    <row r="84" spans="1:12" s="14" customFormat="1" ht="27" customHeight="1" x14ac:dyDescent="0.4">
      <c r="A84" s="108" t="s">
        <v>47</v>
      </c>
      <c r="B84" s="115">
        <f>B31</f>
        <v>355.79</v>
      </c>
      <c r="C84" s="319" t="s">
        <v>106</v>
      </c>
      <c r="D84" s="320"/>
      <c r="E84" s="320"/>
      <c r="F84" s="320"/>
      <c r="G84" s="320"/>
      <c r="H84" s="321"/>
      <c r="I84" s="111"/>
      <c r="J84" s="111"/>
      <c r="K84" s="111"/>
      <c r="L84" s="111"/>
    </row>
    <row r="85" spans="1:12" s="14" customFormat="1" ht="27" customHeight="1" x14ac:dyDescent="0.4">
      <c r="A85" s="108" t="s">
        <v>49</v>
      </c>
      <c r="B85" s="115">
        <f>B32</f>
        <v>428.79</v>
      </c>
      <c r="C85" s="319" t="s">
        <v>107</v>
      </c>
      <c r="D85" s="320"/>
      <c r="E85" s="320"/>
      <c r="F85" s="320"/>
      <c r="G85" s="320"/>
      <c r="H85" s="321"/>
      <c r="I85" s="111"/>
      <c r="J85" s="111"/>
      <c r="K85" s="111"/>
      <c r="L85" s="111"/>
    </row>
    <row r="86" spans="1:12" s="14" customFormat="1" ht="18.75" x14ac:dyDescent="0.3">
      <c r="A86" s="108"/>
      <c r="B86" s="118"/>
      <c r="C86" s="119"/>
      <c r="D86" s="119"/>
      <c r="E86" s="119"/>
      <c r="F86" s="119"/>
      <c r="G86" s="119"/>
      <c r="H86" s="119"/>
      <c r="I86" s="111"/>
      <c r="J86" s="111"/>
      <c r="K86" s="111"/>
      <c r="L86" s="111"/>
    </row>
    <row r="87" spans="1:12" s="14" customFormat="1" ht="18.75" x14ac:dyDescent="0.3">
      <c r="A87" s="108" t="s">
        <v>51</v>
      </c>
      <c r="B87" s="120">
        <f>B84/B85</f>
        <v>0.82975349238555007</v>
      </c>
      <c r="C87" s="98" t="s">
        <v>52</v>
      </c>
      <c r="D87" s="98"/>
      <c r="E87" s="98"/>
      <c r="F87" s="98"/>
      <c r="G87" s="98"/>
      <c r="I87" s="111"/>
      <c r="J87" s="111"/>
      <c r="K87" s="111"/>
      <c r="L87" s="111"/>
    </row>
    <row r="88" spans="1:12" ht="19.5" customHeight="1" x14ac:dyDescent="0.3">
      <c r="A88" s="106"/>
      <c r="B88" s="106"/>
    </row>
    <row r="89" spans="1:12" ht="27" customHeight="1" x14ac:dyDescent="0.4">
      <c r="A89" s="121" t="s">
        <v>53</v>
      </c>
      <c r="B89" s="122">
        <v>25</v>
      </c>
      <c r="D89" s="208" t="s">
        <v>54</v>
      </c>
      <c r="E89" s="209"/>
      <c r="F89" s="322" t="s">
        <v>55</v>
      </c>
      <c r="G89" s="323"/>
    </row>
    <row r="90" spans="1:12" ht="27" customHeight="1" x14ac:dyDescent="0.4">
      <c r="A90" s="123" t="s">
        <v>56</v>
      </c>
      <c r="B90" s="124">
        <v>3</v>
      </c>
      <c r="C90" s="210" t="s">
        <v>57</v>
      </c>
      <c r="D90" s="126" t="s">
        <v>58</v>
      </c>
      <c r="E90" s="127" t="s">
        <v>59</v>
      </c>
      <c r="F90" s="126" t="s">
        <v>58</v>
      </c>
      <c r="G90" s="211" t="s">
        <v>59</v>
      </c>
      <c r="I90" s="129" t="s">
        <v>60</v>
      </c>
    </row>
    <row r="91" spans="1:12" ht="26.25" customHeight="1" x14ac:dyDescent="0.4">
      <c r="A91" s="123" t="s">
        <v>61</v>
      </c>
      <c r="B91" s="124">
        <v>25</v>
      </c>
      <c r="C91" s="212">
        <v>1</v>
      </c>
      <c r="D91" s="281">
        <v>17041876</v>
      </c>
      <c r="E91" s="132">
        <f>IF(ISBLANK(D91),"-",$D$101/$D$98*D91)</f>
        <v>27223304.597760834</v>
      </c>
      <c r="F91" s="281">
        <v>18825247</v>
      </c>
      <c r="G91" s="133">
        <f>IF(ISBLANK(F91),"-",$D$101/$F$98*F91)</f>
        <v>27046576.255475905</v>
      </c>
      <c r="I91" s="134"/>
    </row>
    <row r="92" spans="1:12" ht="26.25" customHeight="1" x14ac:dyDescent="0.4">
      <c r="A92" s="123" t="s">
        <v>62</v>
      </c>
      <c r="B92" s="124">
        <v>1</v>
      </c>
      <c r="C92" s="196">
        <v>2</v>
      </c>
      <c r="D92" s="282">
        <v>16927886</v>
      </c>
      <c r="E92" s="137">
        <f>IF(ISBLANK(D92),"-",$D$101/$D$98*D92)</f>
        <v>27041212.879038155</v>
      </c>
      <c r="F92" s="282">
        <v>18918178</v>
      </c>
      <c r="G92" s="138">
        <f>IF(ISBLANK(F92),"-",$D$101/$F$98*F92)</f>
        <v>27180091.920794804</v>
      </c>
      <c r="I92" s="324">
        <f>ABS((F96/D96*D95)-F95)/D95</f>
        <v>1.8341259748005396E-3</v>
      </c>
    </row>
    <row r="93" spans="1:12" ht="26.25" customHeight="1" x14ac:dyDescent="0.4">
      <c r="A93" s="123" t="s">
        <v>63</v>
      </c>
      <c r="B93" s="124">
        <v>1</v>
      </c>
      <c r="C93" s="196">
        <v>3</v>
      </c>
      <c r="D93" s="282">
        <v>17078749</v>
      </c>
      <c r="E93" s="137">
        <f>IF(ISBLANK(D93),"-",$D$101/$D$98*D93)</f>
        <v>27282206.851857346</v>
      </c>
      <c r="F93" s="282">
        <v>18921968</v>
      </c>
      <c r="G93" s="138">
        <f>IF(ISBLANK(F93),"-",$D$101/$F$98*F93)</f>
        <v>27185537.083028704</v>
      </c>
      <c r="I93" s="324"/>
    </row>
    <row r="94" spans="1:12" ht="27" customHeight="1" x14ac:dyDescent="0.4">
      <c r="A94" s="123" t="s">
        <v>64</v>
      </c>
      <c r="B94" s="124">
        <v>1</v>
      </c>
      <c r="C94" s="213">
        <v>4</v>
      </c>
      <c r="D94" s="283"/>
      <c r="E94" s="142" t="str">
        <f>IF(ISBLANK(D94),"-",$D$101/$D$98*D94)</f>
        <v>-</v>
      </c>
      <c r="F94" s="284"/>
      <c r="G94" s="143" t="str">
        <f>IF(ISBLANK(F94),"-",$D$101/$F$98*F94)</f>
        <v>-</v>
      </c>
      <c r="I94" s="144"/>
    </row>
    <row r="95" spans="1:12" ht="27" customHeight="1" x14ac:dyDescent="0.4">
      <c r="A95" s="123" t="s">
        <v>65</v>
      </c>
      <c r="B95" s="124">
        <v>1</v>
      </c>
      <c r="C95" s="214" t="s">
        <v>66</v>
      </c>
      <c r="D95" s="215">
        <f>AVERAGE(D91:D94)</f>
        <v>17016170.333333332</v>
      </c>
      <c r="E95" s="147">
        <f>AVERAGE(E91:E94)</f>
        <v>27182241.442885444</v>
      </c>
      <c r="F95" s="216">
        <f>AVERAGE(F91:F94)</f>
        <v>18888464.333333332</v>
      </c>
      <c r="G95" s="217">
        <f>AVERAGE(G91:G94)</f>
        <v>27137401.753099803</v>
      </c>
    </row>
    <row r="96" spans="1:12" ht="26.25" customHeight="1" x14ac:dyDescent="0.4">
      <c r="A96" s="123" t="s">
        <v>67</v>
      </c>
      <c r="B96" s="109">
        <v>1</v>
      </c>
      <c r="C96" s="218" t="s">
        <v>108</v>
      </c>
      <c r="D96" s="219">
        <v>11.8</v>
      </c>
      <c r="E96" s="139"/>
      <c r="F96" s="151">
        <v>13.12</v>
      </c>
    </row>
    <row r="97" spans="1:10" ht="26.25" customHeight="1" x14ac:dyDescent="0.4">
      <c r="A97" s="123" t="s">
        <v>69</v>
      </c>
      <c r="B97" s="109">
        <v>1</v>
      </c>
      <c r="C97" s="220" t="s">
        <v>109</v>
      </c>
      <c r="D97" s="221">
        <f>D96*$B$87</f>
        <v>9.7910912101494922</v>
      </c>
      <c r="E97" s="154"/>
      <c r="F97" s="153">
        <f>F96*$B$87</f>
        <v>10.886365820098415</v>
      </c>
    </row>
    <row r="98" spans="1:10" ht="19.5" customHeight="1" x14ac:dyDescent="0.3">
      <c r="A98" s="123" t="s">
        <v>71</v>
      </c>
      <c r="B98" s="222">
        <f>(B97/B96)*(B95/B94)*(B93/B92)*(B91/B90)*B89</f>
        <v>208.33333333333334</v>
      </c>
      <c r="C98" s="220" t="s">
        <v>110</v>
      </c>
      <c r="D98" s="223">
        <f>D97*$B$83/100</f>
        <v>9.7813001189393436</v>
      </c>
      <c r="E98" s="157"/>
      <c r="F98" s="156">
        <f>F97*$B$83/100</f>
        <v>10.875479454278318</v>
      </c>
    </row>
    <row r="99" spans="1:10" ht="19.5" customHeight="1" x14ac:dyDescent="0.3">
      <c r="A99" s="310" t="s">
        <v>73</v>
      </c>
      <c r="B99" s="325"/>
      <c r="C99" s="220" t="s">
        <v>111</v>
      </c>
      <c r="D99" s="224">
        <f>D98/$B$98</f>
        <v>4.6950240570908845E-2</v>
      </c>
      <c r="E99" s="157"/>
      <c r="F99" s="160">
        <f>F98/$B$98</f>
        <v>5.2202301380535929E-2</v>
      </c>
      <c r="G99" s="225"/>
      <c r="H99" s="149"/>
    </row>
    <row r="100" spans="1:10" ht="19.5" customHeight="1" x14ac:dyDescent="0.3">
      <c r="A100" s="312"/>
      <c r="B100" s="326"/>
      <c r="C100" s="220" t="s">
        <v>75</v>
      </c>
      <c r="D100" s="226">
        <f>$B$56/$B$116</f>
        <v>7.4999999999999997E-2</v>
      </c>
      <c r="F100" s="165"/>
      <c r="G100" s="227"/>
      <c r="H100" s="149"/>
    </row>
    <row r="101" spans="1:10" ht="18.75" x14ac:dyDescent="0.3">
      <c r="C101" s="220" t="s">
        <v>76</v>
      </c>
      <c r="D101" s="221">
        <f>D100*$B$98</f>
        <v>15.625</v>
      </c>
      <c r="F101" s="165"/>
      <c r="G101" s="225"/>
      <c r="H101" s="149"/>
    </row>
    <row r="102" spans="1:10" ht="19.5" customHeight="1" x14ac:dyDescent="0.3">
      <c r="C102" s="228" t="s">
        <v>77</v>
      </c>
      <c r="D102" s="229">
        <f>D101/B34</f>
        <v>18.830893926192417</v>
      </c>
      <c r="F102" s="169"/>
      <c r="G102" s="225"/>
      <c r="H102" s="149"/>
      <c r="J102" s="230"/>
    </row>
    <row r="103" spans="1:10" ht="18.75" x14ac:dyDescent="0.3">
      <c r="C103" s="231" t="s">
        <v>112</v>
      </c>
      <c r="D103" s="232">
        <f>AVERAGE(E91:E94,G91:G94)</f>
        <v>27159821.597992625</v>
      </c>
      <c r="F103" s="169"/>
      <c r="G103" s="233"/>
      <c r="H103" s="149"/>
      <c r="J103" s="234"/>
    </row>
    <row r="104" spans="1:10" ht="18.75" x14ac:dyDescent="0.3">
      <c r="C104" s="199" t="s">
        <v>79</v>
      </c>
      <c r="D104" s="235">
        <f>STDEV(E91:E94,G91:G94)/D103</f>
        <v>3.5687161058677993E-3</v>
      </c>
      <c r="F104" s="169"/>
      <c r="G104" s="225"/>
      <c r="H104" s="149"/>
      <c r="J104" s="234"/>
    </row>
    <row r="105" spans="1:10" ht="19.5" customHeight="1" x14ac:dyDescent="0.3">
      <c r="C105" s="201" t="s">
        <v>15</v>
      </c>
      <c r="D105" s="236">
        <f>COUNT(E91:E94,G91:G94)</f>
        <v>6</v>
      </c>
      <c r="F105" s="169"/>
      <c r="G105" s="225"/>
      <c r="H105" s="149"/>
      <c r="J105" s="234"/>
    </row>
    <row r="106" spans="1:10" ht="19.5" customHeight="1" x14ac:dyDescent="0.3">
      <c r="A106" s="173"/>
      <c r="B106" s="173"/>
      <c r="C106" s="173"/>
      <c r="D106" s="173"/>
      <c r="E106" s="173"/>
    </row>
    <row r="107" spans="1:10" ht="26.25" customHeight="1" x14ac:dyDescent="0.4">
      <c r="A107" s="121" t="s">
        <v>113</v>
      </c>
      <c r="B107" s="122">
        <v>900</v>
      </c>
      <c r="C107" s="237" t="s">
        <v>114</v>
      </c>
      <c r="D107" s="238" t="s">
        <v>58</v>
      </c>
      <c r="E107" s="239" t="s">
        <v>115</v>
      </c>
      <c r="F107" s="240" t="s">
        <v>116</v>
      </c>
    </row>
    <row r="108" spans="1:10" ht="26.25" customHeight="1" x14ac:dyDescent="0.4">
      <c r="A108" s="123" t="s">
        <v>117</v>
      </c>
      <c r="B108" s="124">
        <v>10</v>
      </c>
      <c r="C108" s="241">
        <v>1</v>
      </c>
      <c r="D108" s="242">
        <v>29720343</v>
      </c>
      <c r="E108" s="277">
        <f t="shared" ref="E108:E113" si="1">IF(ISBLANK(D108),"-",D108/$D$103*$D$100*$B$116)</f>
        <v>147.72727024453445</v>
      </c>
      <c r="F108" s="243">
        <f>IF(ISBLANK(D108), "-", E108/$B$56)</f>
        <v>1.0942760758854404</v>
      </c>
    </row>
    <row r="109" spans="1:10" ht="26.25" customHeight="1" x14ac:dyDescent="0.4">
      <c r="A109" s="123" t="s">
        <v>90</v>
      </c>
      <c r="B109" s="124">
        <v>20</v>
      </c>
      <c r="C109" s="241">
        <v>2</v>
      </c>
      <c r="D109" s="242">
        <v>29530520</v>
      </c>
      <c r="E109" s="278">
        <f t="shared" si="1"/>
        <v>146.78374029874519</v>
      </c>
      <c r="F109" s="244">
        <f t="shared" ref="F109:F113" si="2">IF(ISBLANK(D109), "-", E109/$B$56)</f>
        <v>1.0872869651758903</v>
      </c>
    </row>
    <row r="110" spans="1:10" ht="26.25" customHeight="1" x14ac:dyDescent="0.4">
      <c r="A110" s="123" t="s">
        <v>91</v>
      </c>
      <c r="B110" s="124">
        <v>1</v>
      </c>
      <c r="C110" s="241">
        <v>3</v>
      </c>
      <c r="D110" s="242">
        <v>30314331</v>
      </c>
      <c r="E110" s="278">
        <f t="shared" si="1"/>
        <v>150.67973367330478</v>
      </c>
      <c r="F110" s="244">
        <f>IF(ISBLANK(D110), "-", E110/$B$56)</f>
        <v>1.1161461753578132</v>
      </c>
    </row>
    <row r="111" spans="1:10" ht="26.25" customHeight="1" x14ac:dyDescent="0.4">
      <c r="A111" s="123" t="s">
        <v>92</v>
      </c>
      <c r="B111" s="124">
        <v>1</v>
      </c>
      <c r="C111" s="241">
        <v>4</v>
      </c>
      <c r="D111" s="242">
        <v>29768412</v>
      </c>
      <c r="E111" s="278">
        <f t="shared" si="1"/>
        <v>147.96620093767567</v>
      </c>
      <c r="F111" s="244">
        <f t="shared" si="2"/>
        <v>1.0960459328716716</v>
      </c>
    </row>
    <row r="112" spans="1:10" ht="26.25" customHeight="1" x14ac:dyDescent="0.4">
      <c r="A112" s="123" t="s">
        <v>93</v>
      </c>
      <c r="B112" s="124">
        <v>1</v>
      </c>
      <c r="C112" s="241">
        <v>5</v>
      </c>
      <c r="D112" s="242">
        <v>30088828</v>
      </c>
      <c r="E112" s="278">
        <f t="shared" si="1"/>
        <v>149.55885351987072</v>
      </c>
      <c r="F112" s="244">
        <f>IF(ISBLANK(D112), "-", E112/$B$56)</f>
        <v>1.1078433594064498</v>
      </c>
    </row>
    <row r="113" spans="1:10" ht="26.25" customHeight="1" x14ac:dyDescent="0.4">
      <c r="A113" s="123" t="s">
        <v>95</v>
      </c>
      <c r="B113" s="124">
        <v>1</v>
      </c>
      <c r="C113" s="245">
        <v>6</v>
      </c>
      <c r="D113" s="246">
        <v>29706637</v>
      </c>
      <c r="E113" s="279">
        <f t="shared" si="1"/>
        <v>147.65914350838031</v>
      </c>
      <c r="F113" s="247">
        <f t="shared" si="2"/>
        <v>1.0937714333954096</v>
      </c>
    </row>
    <row r="114" spans="1:10" ht="26.25" customHeight="1" x14ac:dyDescent="0.4">
      <c r="A114" s="123" t="s">
        <v>96</v>
      </c>
      <c r="B114" s="124">
        <v>1</v>
      </c>
      <c r="C114" s="241"/>
      <c r="D114" s="196"/>
      <c r="E114" s="97"/>
      <c r="F114" s="248"/>
    </row>
    <row r="115" spans="1:10" ht="26.25" customHeight="1" x14ac:dyDescent="0.4">
      <c r="A115" s="123" t="s">
        <v>97</v>
      </c>
      <c r="B115" s="124">
        <v>1</v>
      </c>
      <c r="C115" s="241"/>
      <c r="D115" s="249"/>
      <c r="E115" s="250" t="s">
        <v>66</v>
      </c>
      <c r="F115" s="251">
        <f>AVERAGE(F108:F113)</f>
        <v>1.0992283236821125</v>
      </c>
    </row>
    <row r="116" spans="1:10" ht="27" customHeight="1" x14ac:dyDescent="0.4">
      <c r="A116" s="123" t="s">
        <v>98</v>
      </c>
      <c r="B116" s="155">
        <f>(B115/B114)*(B113/B112)*(B111/B110)*(B109/B108)*B107</f>
        <v>1800</v>
      </c>
      <c r="C116" s="252"/>
      <c r="D116" s="253"/>
      <c r="E116" s="214" t="s">
        <v>79</v>
      </c>
      <c r="F116" s="254">
        <f>STDEV(F108:F113)/F115</f>
        <v>9.691571017009978E-3</v>
      </c>
      <c r="I116" s="97"/>
    </row>
    <row r="117" spans="1:10" ht="27" customHeight="1" x14ac:dyDescent="0.4">
      <c r="A117" s="310" t="s">
        <v>73</v>
      </c>
      <c r="B117" s="311"/>
      <c r="C117" s="255"/>
      <c r="D117" s="256"/>
      <c r="E117" s="257" t="s">
        <v>15</v>
      </c>
      <c r="F117" s="258">
        <f>COUNT(F108:F113)</f>
        <v>6</v>
      </c>
      <c r="I117" s="97"/>
      <c r="J117" s="234"/>
    </row>
    <row r="118" spans="1:10" ht="19.5" customHeight="1" x14ac:dyDescent="0.3">
      <c r="A118" s="312"/>
      <c r="B118" s="313"/>
      <c r="C118" s="97"/>
      <c r="D118" s="97"/>
      <c r="E118" s="97"/>
      <c r="F118" s="196"/>
      <c r="G118" s="97"/>
      <c r="H118" s="97"/>
      <c r="I118" s="97"/>
    </row>
    <row r="119" spans="1:10" ht="18.75" x14ac:dyDescent="0.3">
      <c r="A119" s="267"/>
      <c r="B119" s="119"/>
      <c r="C119" s="97"/>
      <c r="D119" s="97"/>
      <c r="E119" s="97"/>
      <c r="F119" s="196"/>
      <c r="G119" s="97"/>
      <c r="H119" s="97"/>
      <c r="I119" s="97"/>
    </row>
    <row r="120" spans="1:10" ht="26.25" customHeight="1" x14ac:dyDescent="0.4">
      <c r="A120" s="107" t="s">
        <v>101</v>
      </c>
      <c r="B120" s="203" t="s">
        <v>118</v>
      </c>
      <c r="C120" s="314" t="str">
        <f>B20</f>
        <v>Amodiaquine</v>
      </c>
      <c r="D120" s="314"/>
      <c r="E120" s="204" t="s">
        <v>119</v>
      </c>
      <c r="F120" s="204"/>
      <c r="G120" s="205">
        <f>F115</f>
        <v>1.0992283236821125</v>
      </c>
      <c r="H120" s="97"/>
      <c r="I120" s="97"/>
    </row>
    <row r="121" spans="1:10" ht="19.5" customHeight="1" x14ac:dyDescent="0.3">
      <c r="A121" s="259"/>
      <c r="B121" s="259"/>
      <c r="C121" s="260"/>
      <c r="D121" s="260"/>
      <c r="E121" s="260"/>
      <c r="F121" s="260"/>
      <c r="G121" s="260"/>
      <c r="H121" s="260"/>
    </row>
    <row r="122" spans="1:10" ht="18.75" x14ac:dyDescent="0.3">
      <c r="B122" s="315" t="s">
        <v>21</v>
      </c>
      <c r="C122" s="315"/>
      <c r="E122" s="210" t="s">
        <v>22</v>
      </c>
      <c r="F122" s="261"/>
      <c r="G122" s="315" t="s">
        <v>23</v>
      </c>
      <c r="H122" s="315"/>
    </row>
    <row r="123" spans="1:10" ht="69.95" customHeight="1" x14ac:dyDescent="0.3">
      <c r="A123" s="262" t="s">
        <v>24</v>
      </c>
      <c r="B123" s="213" t="s">
        <v>120</v>
      </c>
      <c r="C123" s="263"/>
      <c r="E123" s="296">
        <v>42339</v>
      </c>
      <c r="F123" s="97"/>
      <c r="G123" s="264"/>
      <c r="H123" s="264"/>
    </row>
    <row r="124" spans="1:10" ht="69.95" customHeight="1" x14ac:dyDescent="0.3">
      <c r="A124" s="262" t="s">
        <v>25</v>
      </c>
      <c r="B124" s="265"/>
      <c r="C124" s="265"/>
      <c r="E124" s="265"/>
      <c r="F124" s="97"/>
      <c r="G124" s="266"/>
      <c r="H124" s="266"/>
    </row>
    <row r="125" spans="1:10" ht="18.75" x14ac:dyDescent="0.3">
      <c r="A125" s="195"/>
      <c r="B125" s="195"/>
      <c r="C125" s="196"/>
      <c r="D125" s="196"/>
      <c r="E125" s="196"/>
      <c r="F125" s="200"/>
      <c r="G125" s="196"/>
      <c r="H125" s="196"/>
      <c r="I125" s="97"/>
    </row>
    <row r="126" spans="1:10" ht="18.75" x14ac:dyDescent="0.3">
      <c r="A126" s="195"/>
      <c r="B126" s="195"/>
      <c r="C126" s="196"/>
      <c r="D126" s="196"/>
      <c r="E126" s="196"/>
      <c r="F126" s="200"/>
      <c r="G126" s="196"/>
      <c r="H126" s="196"/>
      <c r="I126" s="97"/>
    </row>
    <row r="127" spans="1:10" ht="18.75" x14ac:dyDescent="0.3">
      <c r="A127" s="195"/>
      <c r="B127" s="195"/>
      <c r="C127" s="196"/>
      <c r="D127" s="196"/>
      <c r="E127" s="196"/>
      <c r="F127" s="200"/>
      <c r="G127" s="196"/>
      <c r="H127" s="196"/>
      <c r="I127" s="97"/>
    </row>
    <row r="128" spans="1:10" ht="18.75" x14ac:dyDescent="0.3">
      <c r="A128" s="195"/>
      <c r="B128" s="195"/>
      <c r="C128" s="196"/>
      <c r="D128" s="196"/>
      <c r="E128" s="196"/>
      <c r="F128" s="200"/>
      <c r="G128" s="196"/>
      <c r="H128" s="196"/>
      <c r="I128" s="97"/>
    </row>
    <row r="129" spans="1:9" ht="18.75" x14ac:dyDescent="0.3">
      <c r="A129" s="195"/>
      <c r="B129" s="195"/>
      <c r="C129" s="196"/>
      <c r="D129" s="196"/>
      <c r="E129" s="196"/>
      <c r="F129" s="200"/>
      <c r="G129" s="196"/>
      <c r="H129" s="196"/>
      <c r="I129" s="97"/>
    </row>
    <row r="130" spans="1:9" ht="18.75" x14ac:dyDescent="0.3">
      <c r="A130" s="195"/>
      <c r="B130" s="195"/>
      <c r="C130" s="196"/>
      <c r="D130" s="196"/>
      <c r="E130" s="196"/>
      <c r="F130" s="200"/>
      <c r="G130" s="196"/>
      <c r="H130" s="196"/>
      <c r="I130" s="97"/>
    </row>
    <row r="131" spans="1:9" ht="18.75" x14ac:dyDescent="0.3">
      <c r="A131" s="195"/>
      <c r="B131" s="195"/>
      <c r="C131" s="196"/>
      <c r="D131" s="196"/>
      <c r="E131" s="196"/>
      <c r="F131" s="200"/>
      <c r="G131" s="196"/>
      <c r="H131" s="196"/>
      <c r="I131" s="97"/>
    </row>
    <row r="132" spans="1:9" ht="18.75" x14ac:dyDescent="0.3">
      <c r="A132" s="195"/>
      <c r="B132" s="195"/>
      <c r="C132" s="196"/>
      <c r="D132" s="196"/>
      <c r="E132" s="196"/>
      <c r="F132" s="200"/>
      <c r="G132" s="196"/>
      <c r="H132" s="196"/>
      <c r="I132" s="97"/>
    </row>
    <row r="133" spans="1:9" ht="18.75" x14ac:dyDescent="0.3">
      <c r="A133" s="195"/>
      <c r="B133" s="195"/>
      <c r="C133" s="196"/>
      <c r="D133" s="196"/>
      <c r="E133" s="196"/>
      <c r="F133" s="200"/>
      <c r="G133" s="196"/>
      <c r="H133" s="196"/>
      <c r="I133" s="97"/>
    </row>
    <row r="250" spans="1:1" x14ac:dyDescent="0.25">
      <c r="A250" s="2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5" priority="1" operator="greaterThan">
      <formula>0.02</formula>
    </cfRule>
  </conditionalFormatting>
  <conditionalFormatting sqref="D51">
    <cfRule type="cellIs" dxfId="14" priority="2" operator="greaterThan">
      <formula>0.02</formula>
    </cfRule>
  </conditionalFormatting>
  <conditionalFormatting sqref="H73">
    <cfRule type="cellIs" dxfId="13" priority="3" operator="greaterThan">
      <formula>0.02</formula>
    </cfRule>
  </conditionalFormatting>
  <conditionalFormatting sqref="D104">
    <cfRule type="cellIs" dxfId="12" priority="4" operator="greaterThan">
      <formula>0.02</formula>
    </cfRule>
  </conditionalFormatting>
  <conditionalFormatting sqref="I39">
    <cfRule type="cellIs" dxfId="11" priority="5" operator="lessThanOrEqual">
      <formula>0.02</formula>
    </cfRule>
  </conditionalFormatting>
  <conditionalFormatting sqref="I39">
    <cfRule type="cellIs" dxfId="10" priority="6" operator="greaterThan">
      <formula>0.02</formula>
    </cfRule>
  </conditionalFormatting>
  <conditionalFormatting sqref="I92">
    <cfRule type="cellIs" dxfId="9" priority="7" operator="lessThanOrEqual">
      <formula>0.02</formula>
    </cfRule>
  </conditionalFormatting>
  <conditionalFormatting sqref="I92">
    <cfRule type="cellIs" dxfId="8" priority="8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2</oddHeader>
    <oddFooter>&amp;LNQCL/ADDO/014&amp;CPage &amp;P of &amp;N&amp;R&amp;D &amp;T</oddFooter>
  </headerFooter>
  <rowBreaks count="1" manualBreakCount="1">
    <brk id="12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88" zoomScale="60" zoomScaleNormal="40" zoomScalePageLayoutView="50" workbookViewId="0">
      <selection activeCell="B109" sqref="B109"/>
    </sheetView>
  </sheetViews>
  <sheetFormatPr defaultColWidth="9.140625" defaultRowHeight="13.5" x14ac:dyDescent="0.25"/>
  <cols>
    <col min="1" max="1" width="55.42578125" style="225" customWidth="1"/>
    <col min="2" max="2" width="33.7109375" style="225" customWidth="1"/>
    <col min="3" max="3" width="42.28515625" style="225" customWidth="1"/>
    <col min="4" max="4" width="30.5703125" style="225" customWidth="1"/>
    <col min="5" max="5" width="39.85546875" style="225" customWidth="1"/>
    <col min="6" max="6" width="30.7109375" style="225" customWidth="1"/>
    <col min="7" max="7" width="39.85546875" style="225" customWidth="1"/>
    <col min="8" max="8" width="30" style="225" customWidth="1"/>
    <col min="9" max="9" width="30.28515625" style="225" hidden="1" customWidth="1"/>
    <col min="10" max="10" width="30.42578125" style="225" customWidth="1"/>
    <col min="11" max="11" width="21.28515625" style="225" customWidth="1"/>
    <col min="12" max="12" width="9.140625" style="225"/>
    <col min="13" max="16384" width="9.140625" style="44"/>
  </cols>
  <sheetData>
    <row r="1" spans="1:9" ht="18.75" customHeight="1" x14ac:dyDescent="0.25">
      <c r="A1" s="308" t="s">
        <v>40</v>
      </c>
      <c r="B1" s="308"/>
      <c r="C1" s="308"/>
      <c r="D1" s="308"/>
      <c r="E1" s="308"/>
      <c r="F1" s="308"/>
      <c r="G1" s="308"/>
      <c r="H1" s="308"/>
      <c r="I1" s="308"/>
    </row>
    <row r="2" spans="1:9" ht="18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</row>
    <row r="3" spans="1:9" ht="18.75" customHeight="1" x14ac:dyDescent="0.25">
      <c r="A3" s="308"/>
      <c r="B3" s="308"/>
      <c r="C3" s="308"/>
      <c r="D3" s="308"/>
      <c r="E3" s="308"/>
      <c r="F3" s="308"/>
      <c r="G3" s="308"/>
      <c r="H3" s="308"/>
      <c r="I3" s="308"/>
    </row>
    <row r="4" spans="1:9" ht="18.75" customHeight="1" x14ac:dyDescent="0.25">
      <c r="A4" s="308"/>
      <c r="B4" s="308"/>
      <c r="C4" s="308"/>
      <c r="D4" s="308"/>
      <c r="E4" s="308"/>
      <c r="F4" s="308"/>
      <c r="G4" s="308"/>
      <c r="H4" s="308"/>
      <c r="I4" s="308"/>
    </row>
    <row r="5" spans="1:9" ht="18.75" customHeight="1" x14ac:dyDescent="0.25">
      <c r="A5" s="308"/>
      <c r="B5" s="308"/>
      <c r="C5" s="308"/>
      <c r="D5" s="308"/>
      <c r="E5" s="308"/>
      <c r="F5" s="308"/>
      <c r="G5" s="308"/>
      <c r="H5" s="308"/>
      <c r="I5" s="308"/>
    </row>
    <row r="6" spans="1:9" ht="18.75" customHeight="1" x14ac:dyDescent="0.25">
      <c r="A6" s="308"/>
      <c r="B6" s="308"/>
      <c r="C6" s="308"/>
      <c r="D6" s="308"/>
      <c r="E6" s="308"/>
      <c r="F6" s="308"/>
      <c r="G6" s="308"/>
      <c r="H6" s="308"/>
      <c r="I6" s="308"/>
    </row>
    <row r="7" spans="1:9" ht="18.75" customHeight="1" x14ac:dyDescent="0.25">
      <c r="A7" s="308"/>
      <c r="B7" s="308"/>
      <c r="C7" s="308"/>
      <c r="D7" s="308"/>
      <c r="E7" s="308"/>
      <c r="F7" s="308"/>
      <c r="G7" s="308"/>
      <c r="H7" s="308"/>
      <c r="I7" s="308"/>
    </row>
    <row r="8" spans="1:9" x14ac:dyDescent="0.25">
      <c r="A8" s="309" t="s">
        <v>41</v>
      </c>
      <c r="B8" s="309"/>
      <c r="C8" s="309"/>
      <c r="D8" s="309"/>
      <c r="E8" s="309"/>
      <c r="F8" s="309"/>
      <c r="G8" s="309"/>
      <c r="H8" s="309"/>
      <c r="I8" s="309"/>
    </row>
    <row r="9" spans="1:9" x14ac:dyDescent="0.25">
      <c r="A9" s="309"/>
      <c r="B9" s="309"/>
      <c r="C9" s="309"/>
      <c r="D9" s="309"/>
      <c r="E9" s="309"/>
      <c r="F9" s="309"/>
      <c r="G9" s="309"/>
      <c r="H9" s="309"/>
      <c r="I9" s="309"/>
    </row>
    <row r="10" spans="1:9" x14ac:dyDescent="0.25">
      <c r="A10" s="309"/>
      <c r="B10" s="309"/>
      <c r="C10" s="309"/>
      <c r="D10" s="309"/>
      <c r="E10" s="309"/>
      <c r="F10" s="309"/>
      <c r="G10" s="309"/>
      <c r="H10" s="309"/>
      <c r="I10" s="309"/>
    </row>
    <row r="11" spans="1:9" x14ac:dyDescent="0.25">
      <c r="A11" s="309"/>
      <c r="B11" s="309"/>
      <c r="C11" s="309"/>
      <c r="D11" s="309"/>
      <c r="E11" s="309"/>
      <c r="F11" s="309"/>
      <c r="G11" s="309"/>
      <c r="H11" s="309"/>
      <c r="I11" s="309"/>
    </row>
    <row r="12" spans="1:9" x14ac:dyDescent="0.25">
      <c r="A12" s="309"/>
      <c r="B12" s="309"/>
      <c r="C12" s="309"/>
      <c r="D12" s="309"/>
      <c r="E12" s="309"/>
      <c r="F12" s="309"/>
      <c r="G12" s="309"/>
      <c r="H12" s="309"/>
      <c r="I12" s="309"/>
    </row>
    <row r="13" spans="1:9" x14ac:dyDescent="0.25">
      <c r="A13" s="309"/>
      <c r="B13" s="309"/>
      <c r="C13" s="309"/>
      <c r="D13" s="309"/>
      <c r="E13" s="309"/>
      <c r="F13" s="309"/>
      <c r="G13" s="309"/>
      <c r="H13" s="309"/>
      <c r="I13" s="309"/>
    </row>
    <row r="14" spans="1:9" x14ac:dyDescent="0.25">
      <c r="A14" s="309"/>
      <c r="B14" s="309"/>
      <c r="C14" s="309"/>
      <c r="D14" s="309"/>
      <c r="E14" s="309"/>
      <c r="F14" s="309"/>
      <c r="G14" s="309"/>
      <c r="H14" s="309"/>
      <c r="I14" s="309"/>
    </row>
    <row r="15" spans="1:9" ht="19.5" customHeight="1" thickBot="1" x14ac:dyDescent="0.35">
      <c r="A15" s="204"/>
    </row>
    <row r="16" spans="1:9" ht="19.5" customHeight="1" thickBot="1" x14ac:dyDescent="0.35">
      <c r="A16" s="341" t="s">
        <v>26</v>
      </c>
      <c r="B16" s="342"/>
      <c r="C16" s="342"/>
      <c r="D16" s="342"/>
      <c r="E16" s="342"/>
      <c r="F16" s="342"/>
      <c r="G16" s="342"/>
      <c r="H16" s="343"/>
    </row>
    <row r="17" spans="1:14" ht="20.25" customHeight="1" x14ac:dyDescent="0.25">
      <c r="A17" s="344" t="s">
        <v>42</v>
      </c>
      <c r="B17" s="344"/>
      <c r="C17" s="344"/>
      <c r="D17" s="344"/>
      <c r="E17" s="344"/>
      <c r="F17" s="344"/>
      <c r="G17" s="344"/>
      <c r="H17" s="344"/>
    </row>
    <row r="18" spans="1:14" ht="26.25" customHeight="1" x14ac:dyDescent="0.4">
      <c r="A18" s="99" t="s">
        <v>28</v>
      </c>
      <c r="B18" s="340" t="s">
        <v>121</v>
      </c>
      <c r="C18" s="340"/>
      <c r="D18" s="268"/>
      <c r="E18" s="100"/>
      <c r="F18" s="101"/>
      <c r="G18" s="101"/>
      <c r="H18" s="101"/>
    </row>
    <row r="19" spans="1:14" ht="26.25" customHeight="1" x14ac:dyDescent="0.4">
      <c r="A19" s="99" t="s">
        <v>29</v>
      </c>
      <c r="B19" s="290" t="str">
        <f>Uniformity!C15</f>
        <v>NDQD201508225</v>
      </c>
      <c r="C19" s="270">
        <v>21</v>
      </c>
      <c r="D19" s="101"/>
      <c r="E19" s="101"/>
      <c r="F19" s="101"/>
      <c r="G19" s="101"/>
      <c r="H19" s="101"/>
    </row>
    <row r="20" spans="1:14" ht="26.25" customHeight="1" x14ac:dyDescent="0.4">
      <c r="A20" s="99" t="s">
        <v>30</v>
      </c>
      <c r="B20" s="345" t="s">
        <v>124</v>
      </c>
      <c r="C20" s="345"/>
      <c r="D20" s="101"/>
      <c r="E20" s="101"/>
      <c r="F20" s="101"/>
      <c r="G20" s="101"/>
      <c r="H20" s="101"/>
    </row>
    <row r="21" spans="1:14" ht="26.25" customHeight="1" x14ac:dyDescent="0.4">
      <c r="A21" s="99" t="s">
        <v>31</v>
      </c>
      <c r="B21" s="345" t="str">
        <f>Uniformity!C17</f>
        <v>Each bilayered tablet contains Artesunate 50mg and Amodiaquine 135mg</v>
      </c>
      <c r="C21" s="345"/>
      <c r="D21" s="345"/>
      <c r="E21" s="345"/>
      <c r="F21" s="345"/>
      <c r="G21" s="345"/>
      <c r="H21" s="345"/>
      <c r="I21" s="103"/>
    </row>
    <row r="22" spans="1:14" ht="26.25" customHeight="1" x14ac:dyDescent="0.4">
      <c r="A22" s="99" t="s">
        <v>32</v>
      </c>
      <c r="B22" s="104">
        <f>Uniformity!C18</f>
        <v>42312</v>
      </c>
      <c r="C22" s="101"/>
      <c r="D22" s="101"/>
      <c r="E22" s="101"/>
      <c r="F22" s="101"/>
      <c r="G22" s="101"/>
      <c r="H22" s="101"/>
    </row>
    <row r="23" spans="1:14" ht="26.25" customHeight="1" x14ac:dyDescent="0.4">
      <c r="A23" s="99" t="s">
        <v>33</v>
      </c>
      <c r="B23" s="104">
        <f>Uniformity!C19</f>
        <v>42338</v>
      </c>
      <c r="C23" s="101"/>
      <c r="D23" s="101"/>
      <c r="E23" s="101"/>
      <c r="F23" s="101"/>
      <c r="G23" s="101"/>
      <c r="H23" s="101"/>
    </row>
    <row r="24" spans="1:14" ht="18.75" x14ac:dyDescent="0.3">
      <c r="A24" s="99"/>
      <c r="B24" s="105"/>
    </row>
    <row r="25" spans="1:14" ht="18.75" x14ac:dyDescent="0.3">
      <c r="A25" s="106" t="s">
        <v>1</v>
      </c>
      <c r="B25" s="105"/>
    </row>
    <row r="26" spans="1:14" ht="26.25" customHeight="1" x14ac:dyDescent="0.4">
      <c r="A26" s="262" t="s">
        <v>4</v>
      </c>
      <c r="B26" s="340" t="s">
        <v>124</v>
      </c>
      <c r="C26" s="340"/>
    </row>
    <row r="27" spans="1:14" ht="26.25" customHeight="1" x14ac:dyDescent="0.4">
      <c r="A27" s="214" t="s">
        <v>43</v>
      </c>
      <c r="B27" s="337" t="s">
        <v>127</v>
      </c>
      <c r="C27" s="337"/>
    </row>
    <row r="28" spans="1:14" ht="27" customHeight="1" thickBot="1" x14ac:dyDescent="0.45">
      <c r="A28" s="214" t="s">
        <v>5</v>
      </c>
      <c r="B28" s="207">
        <v>99.3</v>
      </c>
    </row>
    <row r="29" spans="1:14" s="16" customFormat="1" ht="27" customHeight="1" thickBot="1" x14ac:dyDescent="0.45">
      <c r="A29" s="214" t="s">
        <v>44</v>
      </c>
      <c r="B29" s="110">
        <v>0</v>
      </c>
      <c r="C29" s="316" t="s">
        <v>45</v>
      </c>
      <c r="D29" s="317"/>
      <c r="E29" s="317"/>
      <c r="F29" s="317"/>
      <c r="G29" s="318"/>
      <c r="I29" s="111"/>
      <c r="J29" s="111"/>
      <c r="K29" s="111"/>
      <c r="L29" s="111"/>
    </row>
    <row r="30" spans="1:14" s="16" customFormat="1" ht="19.5" customHeight="1" thickBot="1" x14ac:dyDescent="0.45">
      <c r="A30" s="214" t="s">
        <v>46</v>
      </c>
      <c r="B30" s="297">
        <f>B28-B29</f>
        <v>99.3</v>
      </c>
      <c r="C30" s="113"/>
      <c r="D30" s="113"/>
      <c r="E30" s="113"/>
      <c r="F30" s="113"/>
      <c r="G30" s="114"/>
      <c r="I30" s="111"/>
      <c r="J30" s="111"/>
      <c r="K30" s="111"/>
      <c r="L30" s="111"/>
    </row>
    <row r="31" spans="1:14" s="16" customFormat="1" ht="27" customHeight="1" thickBot="1" x14ac:dyDescent="0.45">
      <c r="A31" s="214" t="s">
        <v>47</v>
      </c>
      <c r="B31" s="115">
        <v>1</v>
      </c>
      <c r="C31" s="319" t="s">
        <v>48</v>
      </c>
      <c r="D31" s="320"/>
      <c r="E31" s="320"/>
      <c r="F31" s="320"/>
      <c r="G31" s="320"/>
      <c r="H31" s="321"/>
      <c r="I31" s="111"/>
      <c r="J31" s="111"/>
      <c r="K31" s="111"/>
      <c r="L31" s="111"/>
    </row>
    <row r="32" spans="1:14" s="16" customFormat="1" ht="27" customHeight="1" thickBot="1" x14ac:dyDescent="0.45">
      <c r="A32" s="214" t="s">
        <v>49</v>
      </c>
      <c r="B32" s="115">
        <v>1</v>
      </c>
      <c r="C32" s="319" t="s">
        <v>50</v>
      </c>
      <c r="D32" s="320"/>
      <c r="E32" s="320"/>
      <c r="F32" s="320"/>
      <c r="G32" s="320"/>
      <c r="H32" s="321"/>
      <c r="I32" s="111"/>
      <c r="J32" s="111"/>
      <c r="K32" s="111"/>
      <c r="L32" s="116"/>
      <c r="M32" s="116"/>
      <c r="N32" s="117"/>
    </row>
    <row r="33" spans="1:14" s="16" customFormat="1" ht="17.25" customHeight="1" x14ac:dyDescent="0.3">
      <c r="A33" s="214"/>
      <c r="B33" s="118"/>
      <c r="C33" s="119"/>
      <c r="D33" s="119"/>
      <c r="E33" s="119"/>
      <c r="F33" s="119"/>
      <c r="G33" s="119"/>
      <c r="H33" s="119"/>
      <c r="I33" s="111"/>
      <c r="J33" s="111"/>
      <c r="K33" s="111"/>
      <c r="L33" s="116"/>
      <c r="M33" s="116"/>
      <c r="N33" s="117"/>
    </row>
    <row r="34" spans="1:14" s="16" customFormat="1" ht="18.75" x14ac:dyDescent="0.3">
      <c r="A34" s="214" t="s">
        <v>51</v>
      </c>
      <c r="B34" s="120">
        <f>B31/B32</f>
        <v>1</v>
      </c>
      <c r="C34" s="204" t="s">
        <v>52</v>
      </c>
      <c r="D34" s="204"/>
      <c r="E34" s="204"/>
      <c r="F34" s="204"/>
      <c r="G34" s="204"/>
      <c r="I34" s="111"/>
      <c r="J34" s="111"/>
      <c r="K34" s="111"/>
      <c r="L34" s="116"/>
      <c r="M34" s="116"/>
      <c r="N34" s="117"/>
    </row>
    <row r="35" spans="1:14" s="16" customFormat="1" ht="19.5" customHeight="1" thickBot="1" x14ac:dyDescent="0.35">
      <c r="A35" s="214"/>
      <c r="B35" s="286"/>
      <c r="G35" s="204"/>
      <c r="I35" s="111"/>
      <c r="J35" s="111"/>
      <c r="K35" s="111"/>
      <c r="L35" s="116"/>
      <c r="M35" s="116"/>
      <c r="N35" s="117"/>
    </row>
    <row r="36" spans="1:14" s="16" customFormat="1" ht="27" customHeight="1" thickBot="1" x14ac:dyDescent="0.45">
      <c r="A36" s="121" t="s">
        <v>53</v>
      </c>
      <c r="B36" s="122">
        <v>5</v>
      </c>
      <c r="C36" s="204"/>
      <c r="D36" s="322" t="s">
        <v>54</v>
      </c>
      <c r="E36" s="339"/>
      <c r="F36" s="322" t="s">
        <v>55</v>
      </c>
      <c r="G36" s="323"/>
      <c r="J36" s="111"/>
      <c r="K36" s="111"/>
      <c r="L36" s="116"/>
      <c r="M36" s="116"/>
      <c r="N36" s="117"/>
    </row>
    <row r="37" spans="1:14" s="16" customFormat="1" ht="27" customHeight="1" thickBot="1" x14ac:dyDescent="0.45">
      <c r="A37" s="123" t="s">
        <v>56</v>
      </c>
      <c r="B37" s="124">
        <v>1</v>
      </c>
      <c r="C37" s="125" t="s">
        <v>57</v>
      </c>
      <c r="D37" s="126" t="s">
        <v>58</v>
      </c>
      <c r="E37" s="127" t="s">
        <v>59</v>
      </c>
      <c r="F37" s="126" t="s">
        <v>58</v>
      </c>
      <c r="G37" s="128" t="s">
        <v>59</v>
      </c>
      <c r="I37" s="129" t="s">
        <v>60</v>
      </c>
      <c r="J37" s="111"/>
      <c r="K37" s="111"/>
      <c r="L37" s="116"/>
      <c r="M37" s="116"/>
      <c r="N37" s="117"/>
    </row>
    <row r="38" spans="1:14" s="16" customFormat="1" ht="26.25" customHeight="1" x14ac:dyDescent="0.4">
      <c r="A38" s="123" t="s">
        <v>61</v>
      </c>
      <c r="B38" s="124">
        <v>1</v>
      </c>
      <c r="C38" s="130">
        <v>1</v>
      </c>
      <c r="D38" s="124">
        <v>3182882</v>
      </c>
      <c r="E38" s="132">
        <f>IF(ISBLANK(D38),"-",$D$48/$D$45*D38)</f>
        <v>2929907.8927262323</v>
      </c>
      <c r="F38" s="131">
        <v>3653857</v>
      </c>
      <c r="G38" s="133">
        <f>IF(ISBLANK(F38),"-",$D$48/$F$45*F38)</f>
        <v>2934301.6747214552</v>
      </c>
      <c r="I38" s="134"/>
      <c r="J38" s="111"/>
      <c r="K38" s="111"/>
      <c r="L38" s="116"/>
      <c r="M38" s="116"/>
      <c r="N38" s="117"/>
    </row>
    <row r="39" spans="1:14" s="16" customFormat="1" ht="26.25" customHeight="1" x14ac:dyDescent="0.4">
      <c r="A39" s="123" t="s">
        <v>62</v>
      </c>
      <c r="B39" s="124">
        <v>1</v>
      </c>
      <c r="C39" s="155">
        <v>2</v>
      </c>
      <c r="D39" s="124">
        <v>3186011</v>
      </c>
      <c r="E39" s="137">
        <f>IF(ISBLANK(D39),"-",$D$48/$D$45*D39)</f>
        <v>2932788.2011373956</v>
      </c>
      <c r="F39" s="136">
        <v>3670313</v>
      </c>
      <c r="G39" s="138">
        <f>IF(ISBLANK(F39),"-",$D$48/$F$45*F39)</f>
        <v>2947516.9889385183</v>
      </c>
      <c r="I39" s="324">
        <f>ABS((F43/D43*D42)-F42)/D42</f>
        <v>2.9479397627487371E-3</v>
      </c>
      <c r="J39" s="111"/>
      <c r="K39" s="111"/>
      <c r="L39" s="116"/>
      <c r="M39" s="116"/>
      <c r="N39" s="117"/>
    </row>
    <row r="40" spans="1:14" ht="26.25" customHeight="1" x14ac:dyDescent="0.4">
      <c r="A40" s="123" t="s">
        <v>63</v>
      </c>
      <c r="B40" s="124">
        <v>1</v>
      </c>
      <c r="C40" s="155">
        <v>3</v>
      </c>
      <c r="D40" s="124">
        <v>3193921</v>
      </c>
      <c r="E40" s="137">
        <f>IF(ISBLANK(D40),"-",$D$48/$D$45*D40)</f>
        <v>2940069.5177025287</v>
      </c>
      <c r="F40" s="136">
        <v>3665418</v>
      </c>
      <c r="G40" s="138">
        <f>IF(ISBLANK(F40),"-",$D$48/$F$45*F40)</f>
        <v>2943585.9629849135</v>
      </c>
      <c r="I40" s="324"/>
      <c r="L40" s="116"/>
      <c r="M40" s="116"/>
      <c r="N40" s="204"/>
    </row>
    <row r="41" spans="1:14" ht="27" customHeight="1" thickBot="1" x14ac:dyDescent="0.45">
      <c r="A41" s="123" t="s">
        <v>64</v>
      </c>
      <c r="B41" s="124">
        <v>1</v>
      </c>
      <c r="C41" s="140">
        <v>4</v>
      </c>
      <c r="D41" s="141"/>
      <c r="E41" s="142" t="str">
        <f>IF(ISBLANK(D41),"-",$D$48/$D$45*D41)</f>
        <v>-</v>
      </c>
      <c r="F41" s="141"/>
      <c r="G41" s="143" t="str">
        <f>IF(ISBLANK(F41),"-",$D$48/$F$45*F41)</f>
        <v>-</v>
      </c>
      <c r="I41" s="144"/>
      <c r="L41" s="116"/>
      <c r="M41" s="116"/>
      <c r="N41" s="204"/>
    </row>
    <row r="42" spans="1:14" ht="27" customHeight="1" thickBot="1" x14ac:dyDescent="0.45">
      <c r="A42" s="123" t="s">
        <v>65</v>
      </c>
      <c r="B42" s="124">
        <v>1</v>
      </c>
      <c r="C42" s="145" t="s">
        <v>66</v>
      </c>
      <c r="D42" s="146">
        <f>AVERAGE(D38:D41)</f>
        <v>3187604.6666666665</v>
      </c>
      <c r="E42" s="147">
        <f>AVERAGE(E38:E41)</f>
        <v>2934255.2038553855</v>
      </c>
      <c r="F42" s="146">
        <f>AVERAGE(F38:F41)</f>
        <v>3663196</v>
      </c>
      <c r="G42" s="148">
        <f>AVERAGE(G38:G41)</f>
        <v>2941801.5422149622</v>
      </c>
      <c r="H42" s="149"/>
    </row>
    <row r="43" spans="1:14" ht="26.25" customHeight="1" x14ac:dyDescent="0.4">
      <c r="A43" s="123" t="s">
        <v>67</v>
      </c>
      <c r="B43" s="124">
        <v>1</v>
      </c>
      <c r="C43" s="150" t="s">
        <v>68</v>
      </c>
      <c r="D43" s="151">
        <v>21.88</v>
      </c>
      <c r="E43" s="204"/>
      <c r="F43" s="151">
        <v>25.08</v>
      </c>
      <c r="H43" s="149"/>
    </row>
    <row r="44" spans="1:14" ht="26.25" customHeight="1" x14ac:dyDescent="0.4">
      <c r="A44" s="123" t="s">
        <v>69</v>
      </c>
      <c r="B44" s="124">
        <v>1</v>
      </c>
      <c r="C44" s="152" t="s">
        <v>70</v>
      </c>
      <c r="D44" s="153">
        <f>D43*$B$34</f>
        <v>21.88</v>
      </c>
      <c r="E44" s="222"/>
      <c r="F44" s="153">
        <f>F43*$B$34</f>
        <v>25.08</v>
      </c>
      <c r="H44" s="149"/>
    </row>
    <row r="45" spans="1:14" ht="19.5" customHeight="1" thickBot="1" x14ac:dyDescent="0.35">
      <c r="A45" s="123" t="s">
        <v>71</v>
      </c>
      <c r="B45" s="155">
        <f>(B44/B43)*(B42/B41)*(B40/B39)*(B38/B37)*B36</f>
        <v>5</v>
      </c>
      <c r="C45" s="152" t="s">
        <v>72</v>
      </c>
      <c r="D45" s="156">
        <f>D44*$B$30/100</f>
        <v>21.726839999999996</v>
      </c>
      <c r="E45" s="200"/>
      <c r="F45" s="156">
        <f>F44*$B$30/100</f>
        <v>24.904440000000001</v>
      </c>
      <c r="H45" s="149"/>
    </row>
    <row r="46" spans="1:14" ht="19.5" customHeight="1" thickBot="1" x14ac:dyDescent="0.35">
      <c r="A46" s="310" t="s">
        <v>73</v>
      </c>
      <c r="B46" s="311"/>
      <c r="C46" s="152" t="s">
        <v>74</v>
      </c>
      <c r="D46" s="158">
        <f>D45/$B$45</f>
        <v>4.3453679999999988</v>
      </c>
      <c r="E46" s="159"/>
      <c r="F46" s="160">
        <f>F45/$B$45</f>
        <v>4.9808880000000002</v>
      </c>
      <c r="H46" s="149"/>
    </row>
    <row r="47" spans="1:14" ht="27" customHeight="1" thickBot="1" x14ac:dyDescent="0.45">
      <c r="A47" s="312"/>
      <c r="B47" s="313"/>
      <c r="C47" s="161" t="s">
        <v>75</v>
      </c>
      <c r="D47" s="162">
        <v>4</v>
      </c>
      <c r="E47" s="163"/>
      <c r="F47" s="159"/>
      <c r="H47" s="149"/>
    </row>
    <row r="48" spans="1:14" ht="18.75" x14ac:dyDescent="0.3">
      <c r="C48" s="164" t="s">
        <v>76</v>
      </c>
      <c r="D48" s="156">
        <f>D47*$B$45</f>
        <v>20</v>
      </c>
      <c r="F48" s="165"/>
      <c r="H48" s="149"/>
    </row>
    <row r="49" spans="1:12" ht="19.5" customHeight="1" thickBot="1" x14ac:dyDescent="0.35">
      <c r="C49" s="166" t="s">
        <v>77</v>
      </c>
      <c r="D49" s="167">
        <f>D48/B34</f>
        <v>20</v>
      </c>
      <c r="F49" s="165"/>
      <c r="H49" s="149"/>
    </row>
    <row r="50" spans="1:12" ht="18.75" x14ac:dyDescent="0.3">
      <c r="C50" s="121" t="s">
        <v>78</v>
      </c>
      <c r="D50" s="168">
        <f>AVERAGE(E38:E41,G38:G41)</f>
        <v>2938028.3730351739</v>
      </c>
      <c r="F50" s="169"/>
      <c r="H50" s="149"/>
    </row>
    <row r="51" spans="1:12" ht="18.75" x14ac:dyDescent="0.3">
      <c r="C51" s="123" t="s">
        <v>79</v>
      </c>
      <c r="D51" s="170">
        <f>STDEV(E38:E41,G38:G41)/D50</f>
        <v>2.320360094796769E-3</v>
      </c>
      <c r="F51" s="169"/>
      <c r="H51" s="149"/>
    </row>
    <row r="52" spans="1:12" ht="19.5" customHeight="1" thickBot="1" x14ac:dyDescent="0.35">
      <c r="C52" s="171" t="s">
        <v>15</v>
      </c>
      <c r="D52" s="172">
        <f>COUNT(E38:E41,G38:G41)</f>
        <v>6</v>
      </c>
      <c r="F52" s="169"/>
    </row>
    <row r="54" spans="1:12" ht="18.75" x14ac:dyDescent="0.3">
      <c r="A54" s="173" t="s">
        <v>1</v>
      </c>
      <c r="B54" s="174" t="s">
        <v>80</v>
      </c>
    </row>
    <row r="55" spans="1:12" ht="18.75" x14ac:dyDescent="0.3">
      <c r="A55" s="204" t="s">
        <v>81</v>
      </c>
      <c r="B55" s="176" t="str">
        <f>B21</f>
        <v>Each bilayered tablet contains Artesunate 50mg and Amodiaquine 135mg</v>
      </c>
    </row>
    <row r="56" spans="1:12" ht="26.25" customHeight="1" x14ac:dyDescent="0.4">
      <c r="A56" s="176" t="s">
        <v>82</v>
      </c>
      <c r="B56" s="177">
        <v>50</v>
      </c>
      <c r="C56" s="204" t="str">
        <f>B20</f>
        <v>Artesunate</v>
      </c>
      <c r="H56" s="222"/>
    </row>
    <row r="57" spans="1:12" ht="18.75" x14ac:dyDescent="0.3">
      <c r="A57" s="176" t="s">
        <v>83</v>
      </c>
      <c r="B57" s="269">
        <f>Uniformity!C46</f>
        <v>352.55500000000001</v>
      </c>
      <c r="H57" s="222"/>
    </row>
    <row r="58" spans="1:12" ht="19.5" customHeight="1" thickBot="1" x14ac:dyDescent="0.35">
      <c r="H58" s="222"/>
    </row>
    <row r="59" spans="1:12" s="16" customFormat="1" ht="27" customHeight="1" thickBot="1" x14ac:dyDescent="0.45">
      <c r="A59" s="121" t="s">
        <v>84</v>
      </c>
      <c r="B59" s="122">
        <v>10</v>
      </c>
      <c r="C59" s="204"/>
      <c r="D59" s="179" t="s">
        <v>85</v>
      </c>
      <c r="E59" s="180" t="s">
        <v>57</v>
      </c>
      <c r="F59" s="180" t="s">
        <v>58</v>
      </c>
      <c r="G59" s="180" t="s">
        <v>86</v>
      </c>
      <c r="H59" s="125" t="s">
        <v>87</v>
      </c>
      <c r="L59" s="111"/>
    </row>
    <row r="60" spans="1:12" s="16" customFormat="1" ht="26.25" customHeight="1" x14ac:dyDescent="0.4">
      <c r="A60" s="123" t="s">
        <v>88</v>
      </c>
      <c r="B60" s="124">
        <v>1</v>
      </c>
      <c r="C60" s="327" t="s">
        <v>89</v>
      </c>
      <c r="D60" s="330">
        <v>344.63</v>
      </c>
      <c r="E60" s="181">
        <v>1</v>
      </c>
      <c r="F60" s="182">
        <v>3471218</v>
      </c>
      <c r="G60" s="271">
        <f>IF(ISBLANK(F60),"-",(F60/$D$50*$D$47*$B$68)*($B$57/$D$60))</f>
        <v>48.345904877686884</v>
      </c>
      <c r="H60" s="183">
        <f>IF(ISBLANK(F60),"-",G60/$B$56)</f>
        <v>0.9669180975537377</v>
      </c>
      <c r="L60" s="111"/>
    </row>
    <row r="61" spans="1:12" s="16" customFormat="1" ht="26.25" customHeight="1" x14ac:dyDescent="0.4">
      <c r="A61" s="123" t="s">
        <v>90</v>
      </c>
      <c r="B61" s="124">
        <v>1</v>
      </c>
      <c r="C61" s="328"/>
      <c r="D61" s="331"/>
      <c r="E61" s="184">
        <v>2</v>
      </c>
      <c r="F61" s="136">
        <v>3483779</v>
      </c>
      <c r="G61" s="272">
        <f>IF(ISBLANK(F61),"-",(F61/$D$50*$D$47*$B$68)*($B$57/$D$60))</f>
        <v>48.520850073053069</v>
      </c>
      <c r="H61" s="185">
        <f t="shared" ref="H61:H71" si="0">IF(ISBLANK(F61),"-",G61/$B$56)</f>
        <v>0.97041700146106136</v>
      </c>
      <c r="L61" s="111"/>
    </row>
    <row r="62" spans="1:12" s="16" customFormat="1" ht="26.25" customHeight="1" x14ac:dyDescent="0.4">
      <c r="A62" s="123" t="s">
        <v>91</v>
      </c>
      <c r="B62" s="124">
        <v>1</v>
      </c>
      <c r="C62" s="328"/>
      <c r="D62" s="331"/>
      <c r="E62" s="184">
        <v>3</v>
      </c>
      <c r="F62" s="186">
        <v>3484830</v>
      </c>
      <c r="G62" s="272">
        <f>IF(ISBLANK(F62),"-",(F62/$D$50*$D$47*$B$68)*($B$57/$D$60))</f>
        <v>48.535488031840579</v>
      </c>
      <c r="H62" s="185">
        <f t="shared" si="0"/>
        <v>0.97070976063681158</v>
      </c>
      <c r="L62" s="111"/>
    </row>
    <row r="63" spans="1:12" ht="27" customHeight="1" thickBot="1" x14ac:dyDescent="0.45">
      <c r="A63" s="123" t="s">
        <v>92</v>
      </c>
      <c r="B63" s="124">
        <v>1</v>
      </c>
      <c r="C63" s="338"/>
      <c r="D63" s="332"/>
      <c r="E63" s="187">
        <v>4</v>
      </c>
      <c r="F63" s="188"/>
      <c r="G63" s="272" t="str">
        <f>IF(ISBLANK(F63),"-",(F63/$D$50*$D$47*$B$68)*($B$57/$D$60))</f>
        <v>-</v>
      </c>
      <c r="H63" s="185" t="str">
        <f t="shared" si="0"/>
        <v>-</v>
      </c>
    </row>
    <row r="64" spans="1:12" ht="26.25" customHeight="1" x14ac:dyDescent="0.4">
      <c r="A64" s="123" t="s">
        <v>93</v>
      </c>
      <c r="B64" s="124">
        <v>1</v>
      </c>
      <c r="C64" s="327" t="s">
        <v>94</v>
      </c>
      <c r="D64" s="330">
        <v>353.5</v>
      </c>
      <c r="E64" s="181">
        <v>1</v>
      </c>
      <c r="F64" s="182">
        <v>3623770</v>
      </c>
      <c r="G64" s="273">
        <f>IF(ISBLANK(F64),"-",(F64/$D$50*$D$47*$B$68)*($B$57/$D$64))</f>
        <v>49.204190500390901</v>
      </c>
      <c r="H64" s="189">
        <f>IF(ISBLANK(F64),"-",G64/$B$56)</f>
        <v>0.98408381000781797</v>
      </c>
    </row>
    <row r="65" spans="1:8" ht="26.25" customHeight="1" x14ac:dyDescent="0.4">
      <c r="A65" s="123" t="s">
        <v>95</v>
      </c>
      <c r="B65" s="124">
        <v>1</v>
      </c>
      <c r="C65" s="328"/>
      <c r="D65" s="331"/>
      <c r="E65" s="184">
        <v>2</v>
      </c>
      <c r="F65" s="136">
        <v>3633144</v>
      </c>
      <c r="G65" s="274">
        <f>IF(ISBLANK(F65),"-",(F65/$D$50*$D$47*$B$68)*($B$57/$D$64))</f>
        <v>49.331472331674533</v>
      </c>
      <c r="H65" s="190">
        <f t="shared" si="0"/>
        <v>0.98662944663349061</v>
      </c>
    </row>
    <row r="66" spans="1:8" ht="26.25" customHeight="1" x14ac:dyDescent="0.4">
      <c r="A66" s="123" t="s">
        <v>96</v>
      </c>
      <c r="B66" s="124">
        <v>1</v>
      </c>
      <c r="C66" s="328"/>
      <c r="D66" s="331"/>
      <c r="E66" s="184">
        <v>3</v>
      </c>
      <c r="F66" s="136">
        <v>3632749</v>
      </c>
      <c r="G66" s="274">
        <f>IF(ISBLANK(F66),"-",(F66/$D$50*$D$47*$B$68)*($B$57/$D$64))</f>
        <v>49.32610895175592</v>
      </c>
      <c r="H66" s="190">
        <f t="shared" si="0"/>
        <v>0.98652217903511841</v>
      </c>
    </row>
    <row r="67" spans="1:8" ht="27" customHeight="1" thickBot="1" x14ac:dyDescent="0.45">
      <c r="A67" s="123" t="s">
        <v>97</v>
      </c>
      <c r="B67" s="124">
        <v>1</v>
      </c>
      <c r="C67" s="338"/>
      <c r="D67" s="332"/>
      <c r="E67" s="187">
        <v>4</v>
      </c>
      <c r="F67" s="188"/>
      <c r="G67" s="275" t="str">
        <f>IF(ISBLANK(F67),"-",(F67/$D$50*$D$47*$B$68)*($B$57/$D$64))</f>
        <v>-</v>
      </c>
      <c r="H67" s="191" t="str">
        <f t="shared" si="0"/>
        <v>-</v>
      </c>
    </row>
    <row r="68" spans="1:8" ht="26.25" customHeight="1" x14ac:dyDescent="0.4">
      <c r="A68" s="123" t="s">
        <v>98</v>
      </c>
      <c r="B68" s="192">
        <f>(B67/B66)*(B65/B64)*(B63/B62)*(B61/B60)*B59</f>
        <v>10</v>
      </c>
      <c r="C68" s="327" t="s">
        <v>99</v>
      </c>
      <c r="D68" s="330">
        <v>356.49</v>
      </c>
      <c r="E68" s="181">
        <v>1</v>
      </c>
      <c r="F68" s="182">
        <v>3636597</v>
      </c>
      <c r="G68" s="273">
        <f>IF(ISBLANK(F68),"-",(F68/$D$50*$D$47*$B$68)*($B$57/$D$68))</f>
        <v>48.964205094475524</v>
      </c>
      <c r="H68" s="185">
        <f>IF(ISBLANK(F68),"-",G68/$B$56)</f>
        <v>0.97928410188951043</v>
      </c>
    </row>
    <row r="69" spans="1:8" ht="27" customHeight="1" thickBot="1" x14ac:dyDescent="0.45">
      <c r="A69" s="171" t="s">
        <v>100</v>
      </c>
      <c r="B69" s="193">
        <f>(D47*B68)/B56*B57</f>
        <v>282.04400000000004</v>
      </c>
      <c r="C69" s="328"/>
      <c r="D69" s="331"/>
      <c r="E69" s="184">
        <v>2</v>
      </c>
      <c r="F69" s="136">
        <v>3641176</v>
      </c>
      <c r="G69" s="274">
        <f>IF(ISBLANK(F69),"-",(F69/$D$50*$D$47*$B$68)*($B$57/$D$68))</f>
        <v>49.025858089054687</v>
      </c>
      <c r="H69" s="185">
        <f t="shared" si="0"/>
        <v>0.98051716178109372</v>
      </c>
    </row>
    <row r="70" spans="1:8" ht="26.25" customHeight="1" x14ac:dyDescent="0.4">
      <c r="A70" s="333" t="s">
        <v>73</v>
      </c>
      <c r="B70" s="334"/>
      <c r="C70" s="328"/>
      <c r="D70" s="331"/>
      <c r="E70" s="184">
        <v>3</v>
      </c>
      <c r="F70" s="136">
        <v>3638984</v>
      </c>
      <c r="G70" s="274">
        <f>IF(ISBLANK(F70),"-",(F70/$D$50*$D$47*$B$68)*($B$57/$D$68))</f>
        <v>48.99634436026728</v>
      </c>
      <c r="H70" s="185">
        <f t="shared" si="0"/>
        <v>0.9799268872053456</v>
      </c>
    </row>
    <row r="71" spans="1:8" ht="27" customHeight="1" thickBot="1" x14ac:dyDescent="0.45">
      <c r="A71" s="335"/>
      <c r="B71" s="336"/>
      <c r="C71" s="329"/>
      <c r="D71" s="332"/>
      <c r="E71" s="187">
        <v>4</v>
      </c>
      <c r="F71" s="188"/>
      <c r="G71" s="275" t="str">
        <f>IF(ISBLANK(F71),"-",(F71/$D$50*$D$47*$B$68)*($B$57/$D$68))</f>
        <v>-</v>
      </c>
      <c r="H71" s="194" t="str">
        <f t="shared" si="0"/>
        <v>-</v>
      </c>
    </row>
    <row r="72" spans="1:8" ht="26.25" customHeight="1" x14ac:dyDescent="0.4">
      <c r="A72" s="222"/>
      <c r="B72" s="222"/>
      <c r="C72" s="222"/>
      <c r="D72" s="222"/>
      <c r="E72" s="222"/>
      <c r="F72" s="222"/>
      <c r="G72" s="197" t="s">
        <v>66</v>
      </c>
      <c r="H72" s="198">
        <f>AVERAGE(H60:H71)</f>
        <v>0.97833427180044319</v>
      </c>
    </row>
    <row r="73" spans="1:8" ht="26.25" customHeight="1" x14ac:dyDescent="0.4">
      <c r="C73" s="222"/>
      <c r="D73" s="222"/>
      <c r="E73" s="222"/>
      <c r="F73" s="222"/>
      <c r="G73" s="199" t="s">
        <v>79</v>
      </c>
      <c r="H73" s="276">
        <f>STDEV(H60:H71)/H72</f>
        <v>7.4786023706652147E-3</v>
      </c>
    </row>
    <row r="74" spans="1:8" ht="27" customHeight="1" thickBot="1" x14ac:dyDescent="0.45">
      <c r="A74" s="222"/>
      <c r="B74" s="222"/>
      <c r="C74" s="222"/>
      <c r="D74" s="222"/>
      <c r="E74" s="200"/>
      <c r="F74" s="222"/>
      <c r="G74" s="201" t="s">
        <v>15</v>
      </c>
      <c r="H74" s="202">
        <f>COUNT(H60:H71)</f>
        <v>9</v>
      </c>
    </row>
    <row r="76" spans="1:8" ht="26.25" customHeight="1" x14ac:dyDescent="0.4">
      <c r="A76" s="262" t="s">
        <v>101</v>
      </c>
      <c r="B76" s="214" t="s">
        <v>102</v>
      </c>
      <c r="C76" s="314" t="str">
        <f>B20</f>
        <v>Artesunate</v>
      </c>
      <c r="D76" s="314"/>
      <c r="E76" s="204" t="s">
        <v>103</v>
      </c>
      <c r="F76" s="204"/>
      <c r="G76" s="205">
        <f>H72</f>
        <v>0.97833427180044319</v>
      </c>
      <c r="H76" s="286"/>
    </row>
    <row r="77" spans="1:8" ht="18.75" x14ac:dyDescent="0.3">
      <c r="A77" s="106" t="s">
        <v>104</v>
      </c>
      <c r="B77" s="106" t="s">
        <v>105</v>
      </c>
    </row>
    <row r="78" spans="1:8" ht="18.75" x14ac:dyDescent="0.3">
      <c r="A78" s="106"/>
      <c r="B78" s="106"/>
    </row>
    <row r="79" spans="1:8" ht="26.25" customHeight="1" x14ac:dyDescent="0.4">
      <c r="A79" s="262" t="s">
        <v>4</v>
      </c>
      <c r="B79" s="337" t="str">
        <f>B26</f>
        <v>Artesunate</v>
      </c>
      <c r="C79" s="337"/>
    </row>
    <row r="80" spans="1:8" ht="26.25" customHeight="1" x14ac:dyDescent="0.4">
      <c r="A80" s="214" t="s">
        <v>43</v>
      </c>
      <c r="B80" s="337" t="str">
        <f>B27</f>
        <v>A15 2</v>
      </c>
      <c r="C80" s="337"/>
    </row>
    <row r="81" spans="1:12" ht="27" customHeight="1" thickBot="1" x14ac:dyDescent="0.45">
      <c r="A81" s="214" t="s">
        <v>5</v>
      </c>
      <c r="B81" s="207">
        <f>B28</f>
        <v>99.3</v>
      </c>
    </row>
    <row r="82" spans="1:12" s="16" customFormat="1" ht="27" customHeight="1" thickBot="1" x14ac:dyDescent="0.45">
      <c r="A82" s="214" t="s">
        <v>44</v>
      </c>
      <c r="B82" s="110">
        <v>0</v>
      </c>
      <c r="C82" s="316" t="s">
        <v>45</v>
      </c>
      <c r="D82" s="317"/>
      <c r="E82" s="317"/>
      <c r="F82" s="317"/>
      <c r="G82" s="318"/>
      <c r="I82" s="111"/>
      <c r="J82" s="111"/>
      <c r="K82" s="111"/>
      <c r="L82" s="111"/>
    </row>
    <row r="83" spans="1:12" s="16" customFormat="1" ht="19.5" customHeight="1" thickBot="1" x14ac:dyDescent="0.35">
      <c r="A83" s="214" t="s">
        <v>46</v>
      </c>
      <c r="B83" s="286">
        <f>B81-B82</f>
        <v>99.3</v>
      </c>
      <c r="C83" s="113"/>
      <c r="D83" s="113"/>
      <c r="E83" s="113"/>
      <c r="F83" s="113"/>
      <c r="G83" s="114"/>
      <c r="I83" s="111"/>
      <c r="J83" s="111"/>
      <c r="K83" s="111"/>
      <c r="L83" s="111"/>
    </row>
    <row r="84" spans="1:12" s="16" customFormat="1" ht="27" customHeight="1" thickBot="1" x14ac:dyDescent="0.45">
      <c r="A84" s="214" t="s">
        <v>47</v>
      </c>
      <c r="B84" s="115">
        <v>1</v>
      </c>
      <c r="C84" s="319" t="s">
        <v>106</v>
      </c>
      <c r="D84" s="320"/>
      <c r="E84" s="320"/>
      <c r="F84" s="320"/>
      <c r="G84" s="320"/>
      <c r="H84" s="321"/>
      <c r="I84" s="111"/>
      <c r="J84" s="111"/>
      <c r="K84" s="111"/>
      <c r="L84" s="111"/>
    </row>
    <row r="85" spans="1:12" s="16" customFormat="1" ht="27" customHeight="1" thickBot="1" x14ac:dyDescent="0.45">
      <c r="A85" s="214" t="s">
        <v>49</v>
      </c>
      <c r="B85" s="115">
        <v>1</v>
      </c>
      <c r="C85" s="319" t="s">
        <v>107</v>
      </c>
      <c r="D85" s="320"/>
      <c r="E85" s="320"/>
      <c r="F85" s="320"/>
      <c r="G85" s="320"/>
      <c r="H85" s="321"/>
      <c r="I85" s="111"/>
      <c r="J85" s="111"/>
      <c r="K85" s="111"/>
      <c r="L85" s="111"/>
    </row>
    <row r="86" spans="1:12" s="16" customFormat="1" ht="18.75" x14ac:dyDescent="0.3">
      <c r="A86" s="214"/>
      <c r="B86" s="118"/>
      <c r="C86" s="119"/>
      <c r="D86" s="119"/>
      <c r="E86" s="119"/>
      <c r="F86" s="119"/>
      <c r="G86" s="119"/>
      <c r="H86" s="119"/>
      <c r="I86" s="111"/>
      <c r="J86" s="111"/>
      <c r="K86" s="111"/>
      <c r="L86" s="111"/>
    </row>
    <row r="87" spans="1:12" s="16" customFormat="1" ht="18.75" x14ac:dyDescent="0.3">
      <c r="A87" s="214" t="s">
        <v>51</v>
      </c>
      <c r="B87" s="120">
        <f>B84/B85</f>
        <v>1</v>
      </c>
      <c r="C87" s="204" t="s">
        <v>52</v>
      </c>
      <c r="D87" s="204"/>
      <c r="E87" s="204"/>
      <c r="F87" s="204"/>
      <c r="G87" s="204"/>
      <c r="I87" s="111"/>
      <c r="J87" s="111"/>
      <c r="K87" s="111"/>
      <c r="L87" s="111"/>
    </row>
    <row r="88" spans="1:12" ht="19.5" customHeight="1" thickBot="1" x14ac:dyDescent="0.35">
      <c r="A88" s="106"/>
      <c r="B88" s="106"/>
    </row>
    <row r="89" spans="1:12" ht="27" customHeight="1" thickBot="1" x14ac:dyDescent="0.45">
      <c r="A89" s="121" t="s">
        <v>53</v>
      </c>
      <c r="B89" s="122">
        <v>5</v>
      </c>
      <c r="D89" s="288" t="s">
        <v>54</v>
      </c>
      <c r="E89" s="291"/>
      <c r="F89" s="322" t="s">
        <v>55</v>
      </c>
      <c r="G89" s="323"/>
    </row>
    <row r="90" spans="1:12" ht="27" customHeight="1" thickBot="1" x14ac:dyDescent="0.45">
      <c r="A90" s="123" t="s">
        <v>56</v>
      </c>
      <c r="B90" s="124">
        <v>1</v>
      </c>
      <c r="C90" s="287" t="s">
        <v>57</v>
      </c>
      <c r="D90" s="126" t="s">
        <v>58</v>
      </c>
      <c r="E90" s="127" t="s">
        <v>59</v>
      </c>
      <c r="F90" s="126" t="s">
        <v>58</v>
      </c>
      <c r="G90" s="211" t="s">
        <v>59</v>
      </c>
      <c r="I90" s="129" t="s">
        <v>60</v>
      </c>
    </row>
    <row r="91" spans="1:12" ht="26.25" customHeight="1" x14ac:dyDescent="0.4">
      <c r="A91" s="123" t="s">
        <v>61</v>
      </c>
      <c r="B91" s="124">
        <v>100</v>
      </c>
      <c r="C91" s="212">
        <v>1</v>
      </c>
      <c r="D91" s="281">
        <v>971735</v>
      </c>
      <c r="E91" s="132">
        <f>IF(ISBLANK(D91),"-",$D$101/$D$98*D91)</f>
        <v>1118127.3945037569</v>
      </c>
      <c r="F91" s="281">
        <v>1126249</v>
      </c>
      <c r="G91" s="133">
        <f>IF(ISBLANK(F91),"-",$D$101/$F$98*F91)</f>
        <v>1130570.4926511096</v>
      </c>
      <c r="I91" s="134"/>
    </row>
    <row r="92" spans="1:12" ht="26.25" customHeight="1" x14ac:dyDescent="0.4">
      <c r="A92" s="123" t="s">
        <v>62</v>
      </c>
      <c r="B92" s="124">
        <v>1</v>
      </c>
      <c r="C92" s="222">
        <v>2</v>
      </c>
      <c r="D92" s="282">
        <v>961876</v>
      </c>
      <c r="E92" s="137">
        <f>IF(ISBLANK(D92),"-",$D$101/$D$98*D92)</f>
        <v>1106783.130910892</v>
      </c>
      <c r="F92" s="282">
        <v>1112255</v>
      </c>
      <c r="G92" s="138">
        <f>IF(ISBLANK(F92),"-",$D$101/$F$98*F92)</f>
        <v>1116522.7967382523</v>
      </c>
      <c r="I92" s="324">
        <f>ABS((F96/D96*D95)-F95)/D95</f>
        <v>8.6013580444531841E-3</v>
      </c>
    </row>
    <row r="93" spans="1:12" ht="26.25" customHeight="1" x14ac:dyDescent="0.4">
      <c r="A93" s="123" t="s">
        <v>63</v>
      </c>
      <c r="B93" s="124">
        <v>1</v>
      </c>
      <c r="C93" s="222">
        <v>3</v>
      </c>
      <c r="D93" s="282">
        <v>970867</v>
      </c>
      <c r="E93" s="137">
        <f>IF(ISBLANK(D93),"-",$D$101/$D$98*D93)</f>
        <v>1117128.6298421677</v>
      </c>
      <c r="F93" s="282">
        <v>1115743</v>
      </c>
      <c r="G93" s="138">
        <f>IF(ISBLANK(F93),"-",$D$101/$F$98*F93)</f>
        <v>1120024.1804272651</v>
      </c>
      <c r="I93" s="324"/>
    </row>
    <row r="94" spans="1:12" ht="27" customHeight="1" thickBot="1" x14ac:dyDescent="0.45">
      <c r="A94" s="123" t="s">
        <v>64</v>
      </c>
      <c r="B94" s="124">
        <v>1</v>
      </c>
      <c r="C94" s="213">
        <v>4</v>
      </c>
      <c r="D94" s="283"/>
      <c r="E94" s="142" t="str">
        <f>IF(ISBLANK(D94),"-",$D$101/$D$98*D94)</f>
        <v>-</v>
      </c>
      <c r="F94" s="284" t="s">
        <v>129</v>
      </c>
      <c r="G94" s="143"/>
      <c r="I94" s="144"/>
    </row>
    <row r="95" spans="1:12" ht="27" customHeight="1" thickBot="1" x14ac:dyDescent="0.45">
      <c r="A95" s="123" t="s">
        <v>65</v>
      </c>
      <c r="B95" s="124">
        <v>1</v>
      </c>
      <c r="C95" s="214" t="s">
        <v>66</v>
      </c>
      <c r="D95" s="215">
        <f>AVERAGE(D91:D94)</f>
        <v>968159.33333333337</v>
      </c>
      <c r="E95" s="147">
        <f>AVERAGE(E91:E94)</f>
        <v>1114013.0517522723</v>
      </c>
      <c r="F95" s="216">
        <f>AVERAGE(F91:F94)</f>
        <v>1118082.3333333333</v>
      </c>
      <c r="G95" s="217">
        <f>AVERAGE(G91:G94)</f>
        <v>1122372.4899388757</v>
      </c>
    </row>
    <row r="96" spans="1:12" ht="26.25" customHeight="1" x14ac:dyDescent="0.4">
      <c r="A96" s="123" t="s">
        <v>67</v>
      </c>
      <c r="B96" s="207">
        <v>1</v>
      </c>
      <c r="C96" s="218" t="s">
        <v>108</v>
      </c>
      <c r="D96" s="219">
        <v>21.88</v>
      </c>
      <c r="E96" s="204"/>
      <c r="F96" s="151">
        <v>25.08</v>
      </c>
    </row>
    <row r="97" spans="1:10" ht="26.25" customHeight="1" x14ac:dyDescent="0.4">
      <c r="A97" s="123" t="s">
        <v>69</v>
      </c>
      <c r="B97" s="207">
        <v>1</v>
      </c>
      <c r="C97" s="220" t="s">
        <v>109</v>
      </c>
      <c r="D97" s="221">
        <f>D96*$B$87</f>
        <v>21.88</v>
      </c>
      <c r="E97" s="222"/>
      <c r="F97" s="153">
        <f>F96*$B$87</f>
        <v>25.08</v>
      </c>
    </row>
    <row r="98" spans="1:10" ht="19.5" customHeight="1" thickBot="1" x14ac:dyDescent="0.35">
      <c r="A98" s="123" t="s">
        <v>71</v>
      </c>
      <c r="B98" s="222">
        <f>(B97/B96)*(B95/B94)*(B93/B92)*(B91/B90)*B89</f>
        <v>500</v>
      </c>
      <c r="C98" s="220" t="s">
        <v>110</v>
      </c>
      <c r="D98" s="223">
        <f>D97*$B$83/100</f>
        <v>21.726839999999996</v>
      </c>
      <c r="E98" s="200"/>
      <c r="F98" s="156">
        <f>F97*$B$83/100</f>
        <v>24.904440000000001</v>
      </c>
    </row>
    <row r="99" spans="1:10" ht="19.5" customHeight="1" thickBot="1" x14ac:dyDescent="0.35">
      <c r="A99" s="310" t="s">
        <v>73</v>
      </c>
      <c r="B99" s="325"/>
      <c r="C99" s="220" t="s">
        <v>111</v>
      </c>
      <c r="D99" s="224">
        <f>D98/$B$98</f>
        <v>4.3453679999999995E-2</v>
      </c>
      <c r="E99" s="200"/>
      <c r="F99" s="160">
        <f>F98/$B$98</f>
        <v>4.980888E-2</v>
      </c>
      <c r="H99" s="149"/>
    </row>
    <row r="100" spans="1:10" ht="19.5" customHeight="1" thickBot="1" x14ac:dyDescent="0.35">
      <c r="A100" s="312"/>
      <c r="B100" s="326"/>
      <c r="C100" s="220" t="s">
        <v>75</v>
      </c>
      <c r="D100" s="226">
        <f>$B$56/$B$116</f>
        <v>0.05</v>
      </c>
      <c r="F100" s="165"/>
      <c r="G100" s="233"/>
      <c r="H100" s="149"/>
    </row>
    <row r="101" spans="1:10" ht="18.75" x14ac:dyDescent="0.3">
      <c r="C101" s="220" t="s">
        <v>76</v>
      </c>
      <c r="D101" s="221">
        <f>D100*$B$98</f>
        <v>25</v>
      </c>
      <c r="F101" s="165"/>
      <c r="H101" s="149"/>
    </row>
    <row r="102" spans="1:10" ht="19.5" customHeight="1" thickBot="1" x14ac:dyDescent="0.35">
      <c r="C102" s="228" t="s">
        <v>77</v>
      </c>
      <c r="D102" s="229">
        <f>D101/B34</f>
        <v>25</v>
      </c>
      <c r="F102" s="169"/>
      <c r="H102" s="149"/>
      <c r="J102" s="230"/>
    </row>
    <row r="103" spans="1:10" ht="18.75" x14ac:dyDescent="0.3">
      <c r="C103" s="231" t="s">
        <v>112</v>
      </c>
      <c r="D103" s="232">
        <f>AVERAGE(E91:E94,G91:G94)</f>
        <v>1118192.7708455739</v>
      </c>
      <c r="F103" s="169"/>
      <c r="G103" s="233"/>
      <c r="H103" s="149"/>
      <c r="J103" s="234"/>
    </row>
    <row r="104" spans="1:10" ht="18.75" x14ac:dyDescent="0.3">
      <c r="C104" s="199" t="s">
        <v>79</v>
      </c>
      <c r="D104" s="235">
        <f>STDEV(E91:E94,G91:G94)/D103</f>
        <v>6.8186201797960349E-3</v>
      </c>
      <c r="F104" s="169"/>
      <c r="H104" s="149"/>
      <c r="J104" s="234"/>
    </row>
    <row r="105" spans="1:10" ht="19.5" customHeight="1" thickBot="1" x14ac:dyDescent="0.35">
      <c r="C105" s="201" t="s">
        <v>15</v>
      </c>
      <c r="D105" s="236">
        <f>COUNT(E91:E94,G91:G94)</f>
        <v>6</v>
      </c>
      <c r="F105" s="169"/>
      <c r="H105" s="149"/>
      <c r="J105" s="234"/>
    </row>
    <row r="106" spans="1:10" ht="19.5" customHeight="1" thickBot="1" x14ac:dyDescent="0.35">
      <c r="A106" s="173"/>
      <c r="B106" s="173"/>
      <c r="C106" s="173"/>
      <c r="D106" s="173"/>
      <c r="E106" s="173"/>
    </row>
    <row r="107" spans="1:10" ht="26.25" customHeight="1" x14ac:dyDescent="0.4">
      <c r="A107" s="121" t="s">
        <v>113</v>
      </c>
      <c r="B107" s="122">
        <v>500</v>
      </c>
      <c r="C107" s="288" t="s">
        <v>114</v>
      </c>
      <c r="D107" s="238" t="s">
        <v>58</v>
      </c>
      <c r="E107" s="239" t="s">
        <v>115</v>
      </c>
      <c r="F107" s="240" t="s">
        <v>116</v>
      </c>
    </row>
    <row r="108" spans="1:10" ht="26.25" customHeight="1" x14ac:dyDescent="0.4">
      <c r="A108" s="123" t="s">
        <v>117</v>
      </c>
      <c r="B108" s="124">
        <v>10</v>
      </c>
      <c r="C108" s="241">
        <v>1</v>
      </c>
      <c r="D108" s="242">
        <v>1100182</v>
      </c>
      <c r="E108" s="277">
        <f t="shared" ref="E108:E113" si="1">IF(ISBLANK(D108),"-",D108/$D$103*$D$100*$B$116)</f>
        <v>49.194648216516633</v>
      </c>
      <c r="F108" s="243">
        <f>IF(ISBLANK(D108), "-", E108/$B$56)</f>
        <v>0.98389296433033269</v>
      </c>
    </row>
    <row r="109" spans="1:10" ht="26.25" customHeight="1" x14ac:dyDescent="0.4">
      <c r="A109" s="123" t="s">
        <v>90</v>
      </c>
      <c r="B109" s="124">
        <v>20</v>
      </c>
      <c r="C109" s="241">
        <v>2</v>
      </c>
      <c r="D109" s="242">
        <v>1100084</v>
      </c>
      <c r="E109" s="278">
        <f t="shared" si="1"/>
        <v>49.190266145618168</v>
      </c>
      <c r="F109" s="244">
        <f t="shared" ref="F109:F113" si="2">IF(ISBLANK(D109), "-", E109/$B$56)</f>
        <v>0.98380532291236333</v>
      </c>
    </row>
    <row r="110" spans="1:10" ht="26.25" customHeight="1" x14ac:dyDescent="0.4">
      <c r="A110" s="123" t="s">
        <v>91</v>
      </c>
      <c r="B110" s="124">
        <v>1</v>
      </c>
      <c r="C110" s="241">
        <v>3</v>
      </c>
      <c r="D110" s="242">
        <v>1102506</v>
      </c>
      <c r="E110" s="278">
        <f t="shared" si="1"/>
        <v>49.298565897823167</v>
      </c>
      <c r="F110" s="244">
        <f>IF(ISBLANK(D110), "-", E110/$B$56)</f>
        <v>0.98597131795646331</v>
      </c>
    </row>
    <row r="111" spans="1:10" ht="26.25" customHeight="1" x14ac:dyDescent="0.4">
      <c r="A111" s="123" t="s">
        <v>92</v>
      </c>
      <c r="B111" s="124">
        <v>1</v>
      </c>
      <c r="C111" s="241">
        <v>4</v>
      </c>
      <c r="D111" s="242">
        <v>1098474</v>
      </c>
      <c r="E111" s="278">
        <f t="shared" si="1"/>
        <v>49.118274980857613</v>
      </c>
      <c r="F111" s="244">
        <f t="shared" si="2"/>
        <v>0.98236549961715225</v>
      </c>
    </row>
    <row r="112" spans="1:10" ht="26.25" customHeight="1" x14ac:dyDescent="0.4">
      <c r="A112" s="123" t="s">
        <v>93</v>
      </c>
      <c r="B112" s="124">
        <v>1</v>
      </c>
      <c r="C112" s="241">
        <v>5</v>
      </c>
      <c r="D112" s="242">
        <v>1095439</v>
      </c>
      <c r="E112" s="278">
        <f t="shared" si="1"/>
        <v>48.982564928032602</v>
      </c>
      <c r="F112" s="244">
        <f>IF(ISBLANK(D112), "-", E112/$B$56)</f>
        <v>0.97965129856065203</v>
      </c>
    </row>
    <row r="113" spans="1:10" ht="26.25" customHeight="1" x14ac:dyDescent="0.4">
      <c r="A113" s="123" t="s">
        <v>95</v>
      </c>
      <c r="B113" s="124">
        <v>1</v>
      </c>
      <c r="C113" s="245">
        <v>6</v>
      </c>
      <c r="D113" s="246">
        <v>1101700</v>
      </c>
      <c r="E113" s="279">
        <f t="shared" si="1"/>
        <v>49.262525600433726</v>
      </c>
      <c r="F113" s="247">
        <f t="shared" si="2"/>
        <v>0.98525051200867453</v>
      </c>
    </row>
    <row r="114" spans="1:10" ht="26.25" customHeight="1" x14ac:dyDescent="0.4">
      <c r="A114" s="123" t="s">
        <v>96</v>
      </c>
      <c r="B114" s="124">
        <v>1</v>
      </c>
      <c r="C114" s="241"/>
      <c r="D114" s="222"/>
      <c r="E114" s="204"/>
      <c r="F114" s="248"/>
    </row>
    <row r="115" spans="1:10" ht="26.25" customHeight="1" x14ac:dyDescent="0.4">
      <c r="A115" s="123" t="s">
        <v>97</v>
      </c>
      <c r="B115" s="124">
        <v>1</v>
      </c>
      <c r="C115" s="241"/>
      <c r="D115" s="249"/>
      <c r="E115" s="250" t="s">
        <v>66</v>
      </c>
      <c r="F115" s="251">
        <f>AVERAGE(F108:F113)</f>
        <v>0.98348948589760632</v>
      </c>
    </row>
    <row r="116" spans="1:10" ht="27" customHeight="1" thickBot="1" x14ac:dyDescent="0.45">
      <c r="A116" s="123" t="s">
        <v>98</v>
      </c>
      <c r="B116" s="155">
        <f>(B115/B114)*(B113/B112)*(B111/B110)*(B109/B108)*B107</f>
        <v>1000</v>
      </c>
      <c r="C116" s="252"/>
      <c r="D116" s="253"/>
      <c r="E116" s="214" t="s">
        <v>79</v>
      </c>
      <c r="F116" s="254">
        <f>STDEV(F108:F113)/F115</f>
        <v>2.2970527150984639E-3</v>
      </c>
      <c r="I116" s="204"/>
    </row>
    <row r="117" spans="1:10" ht="27" customHeight="1" thickBot="1" x14ac:dyDescent="0.45">
      <c r="A117" s="310" t="s">
        <v>73</v>
      </c>
      <c r="B117" s="311"/>
      <c r="C117" s="255"/>
      <c r="D117" s="256"/>
      <c r="E117" s="257" t="s">
        <v>15</v>
      </c>
      <c r="F117" s="258">
        <f>COUNT(F108:F113)</f>
        <v>6</v>
      </c>
      <c r="I117" s="204"/>
      <c r="J117" s="234"/>
    </row>
    <row r="118" spans="1:10" ht="19.5" customHeight="1" thickBot="1" x14ac:dyDescent="0.35">
      <c r="A118" s="312"/>
      <c r="B118" s="313"/>
      <c r="C118" s="204"/>
      <c r="D118" s="204"/>
      <c r="E118" s="204"/>
      <c r="F118" s="222"/>
      <c r="G118" s="204"/>
      <c r="H118" s="204"/>
      <c r="I118" s="204"/>
    </row>
    <row r="119" spans="1:10" ht="18.75" x14ac:dyDescent="0.3">
      <c r="A119" s="267"/>
      <c r="B119" s="119"/>
      <c r="C119" s="204"/>
      <c r="D119" s="204"/>
      <c r="E119" s="204"/>
      <c r="F119" s="222"/>
      <c r="G119" s="204"/>
      <c r="H119" s="204"/>
      <c r="I119" s="204"/>
    </row>
    <row r="120" spans="1:10" ht="26.25" customHeight="1" x14ac:dyDescent="0.4">
      <c r="A120" s="262" t="s">
        <v>101</v>
      </c>
      <c r="B120" s="214" t="s">
        <v>118</v>
      </c>
      <c r="C120" s="314" t="str">
        <f>B20</f>
        <v>Artesunate</v>
      </c>
      <c r="D120" s="314"/>
      <c r="E120" s="204" t="s">
        <v>119</v>
      </c>
      <c r="F120" s="204"/>
      <c r="G120" s="205">
        <f>F115</f>
        <v>0.98348948589760632</v>
      </c>
      <c r="H120" s="204"/>
      <c r="I120" s="204"/>
    </row>
    <row r="121" spans="1:10" ht="19.5" customHeight="1" thickBot="1" x14ac:dyDescent="0.35">
      <c r="A121" s="289"/>
      <c r="B121" s="289"/>
      <c r="C121" s="260"/>
      <c r="D121" s="260"/>
      <c r="E121" s="260"/>
      <c r="F121" s="260"/>
      <c r="G121" s="260"/>
      <c r="H121" s="260"/>
    </row>
    <row r="122" spans="1:10" ht="18.75" x14ac:dyDescent="0.3">
      <c r="B122" s="315" t="s">
        <v>21</v>
      </c>
      <c r="C122" s="315"/>
      <c r="E122" s="287" t="s">
        <v>22</v>
      </c>
      <c r="F122" s="261"/>
      <c r="G122" s="315" t="s">
        <v>23</v>
      </c>
      <c r="H122" s="315"/>
    </row>
    <row r="123" spans="1:10" ht="69.95" customHeight="1" x14ac:dyDescent="0.3">
      <c r="A123" s="262" t="s">
        <v>24</v>
      </c>
      <c r="B123" s="213" t="s">
        <v>120</v>
      </c>
      <c r="C123" s="264"/>
      <c r="E123" s="296">
        <v>42339</v>
      </c>
      <c r="F123" s="204"/>
      <c r="G123" s="264"/>
      <c r="H123" s="264"/>
    </row>
    <row r="124" spans="1:10" ht="69.95" customHeight="1" x14ac:dyDescent="0.3">
      <c r="A124" s="262" t="s">
        <v>25</v>
      </c>
      <c r="B124" s="265"/>
      <c r="C124" s="265"/>
      <c r="E124" s="265"/>
      <c r="F124" s="204"/>
      <c r="G124" s="266"/>
      <c r="H124" s="266"/>
    </row>
    <row r="125" spans="1:10" ht="18.75" x14ac:dyDescent="0.3">
      <c r="A125" s="222"/>
      <c r="B125" s="222"/>
      <c r="C125" s="222"/>
      <c r="D125" s="222"/>
      <c r="E125" s="222"/>
      <c r="F125" s="200"/>
      <c r="G125" s="222"/>
      <c r="H125" s="222"/>
      <c r="I125" s="204"/>
    </row>
    <row r="126" spans="1:10" ht="18.75" x14ac:dyDescent="0.3">
      <c r="A126" s="222"/>
      <c r="B126" s="222"/>
      <c r="C126" s="222"/>
      <c r="D126" s="222"/>
      <c r="E126" s="222"/>
      <c r="F126" s="200"/>
      <c r="G126" s="222"/>
      <c r="H126" s="222"/>
      <c r="I126" s="204"/>
    </row>
    <row r="127" spans="1:10" ht="18.75" x14ac:dyDescent="0.3">
      <c r="A127" s="222"/>
      <c r="B127" s="222"/>
      <c r="C127" s="222"/>
      <c r="D127" s="222"/>
      <c r="E127" s="222"/>
      <c r="F127" s="200"/>
      <c r="G127" s="222"/>
      <c r="H127" s="222"/>
      <c r="I127" s="204"/>
    </row>
    <row r="128" spans="1:10" ht="18.75" x14ac:dyDescent="0.3">
      <c r="A128" s="222"/>
      <c r="B128" s="222"/>
      <c r="C128" s="222"/>
      <c r="D128" s="222"/>
      <c r="E128" s="222"/>
      <c r="F128" s="200"/>
      <c r="G128" s="222"/>
      <c r="H128" s="222"/>
      <c r="I128" s="204"/>
    </row>
    <row r="129" spans="1:9" ht="18.75" x14ac:dyDescent="0.3">
      <c r="A129" s="222"/>
      <c r="B129" s="222"/>
      <c r="C129" s="222"/>
      <c r="D129" s="222"/>
      <c r="E129" s="222"/>
      <c r="F129" s="200"/>
      <c r="G129" s="222"/>
      <c r="H129" s="222"/>
      <c r="I129" s="204"/>
    </row>
    <row r="130" spans="1:9" ht="18.75" x14ac:dyDescent="0.3">
      <c r="A130" s="222"/>
      <c r="B130" s="222"/>
      <c r="C130" s="222"/>
      <c r="D130" s="222"/>
      <c r="E130" s="222"/>
      <c r="F130" s="200"/>
      <c r="G130" s="222"/>
      <c r="H130" s="222"/>
      <c r="I130" s="204"/>
    </row>
    <row r="131" spans="1:9" ht="18.75" x14ac:dyDescent="0.3">
      <c r="A131" s="222"/>
      <c r="B131" s="222"/>
      <c r="C131" s="222"/>
      <c r="D131" s="222"/>
      <c r="E131" s="222"/>
      <c r="F131" s="200"/>
      <c r="G131" s="222"/>
      <c r="H131" s="222"/>
      <c r="I131" s="204"/>
    </row>
    <row r="132" spans="1:9" ht="18.75" x14ac:dyDescent="0.3">
      <c r="A132" s="222"/>
      <c r="B132" s="222"/>
      <c r="C132" s="222"/>
      <c r="D132" s="222"/>
      <c r="E132" s="222"/>
      <c r="F132" s="200"/>
      <c r="G132" s="222"/>
      <c r="H132" s="222"/>
      <c r="I132" s="204"/>
    </row>
    <row r="133" spans="1:9" ht="18.75" x14ac:dyDescent="0.3">
      <c r="A133" s="222"/>
      <c r="B133" s="222"/>
      <c r="C133" s="222"/>
      <c r="D133" s="222"/>
      <c r="E133" s="222"/>
      <c r="F133" s="200"/>
      <c r="G133" s="222"/>
      <c r="H133" s="222"/>
      <c r="I133" s="204"/>
    </row>
    <row r="250" spans="1:1" x14ac:dyDescent="0.25">
      <c r="A250" s="225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  <mergeCell ref="D36:E36"/>
    <mergeCell ref="F36:G36"/>
    <mergeCell ref="I39:I40"/>
    <mergeCell ref="A46:B47"/>
    <mergeCell ref="C60:C63"/>
    <mergeCell ref="D60:D63"/>
    <mergeCell ref="F89:G89"/>
    <mergeCell ref="C64:C67"/>
    <mergeCell ref="D64:D67"/>
    <mergeCell ref="C68:C71"/>
    <mergeCell ref="D68:D71"/>
    <mergeCell ref="B79:C79"/>
    <mergeCell ref="B80:C80"/>
    <mergeCell ref="C82:G82"/>
    <mergeCell ref="C84:H84"/>
    <mergeCell ref="C85:H85"/>
    <mergeCell ref="A70:B71"/>
    <mergeCell ref="C76:D76"/>
    <mergeCell ref="I92:I93"/>
    <mergeCell ref="A99:B100"/>
    <mergeCell ref="A117:B118"/>
    <mergeCell ref="C120:D120"/>
    <mergeCell ref="B122:C122"/>
    <mergeCell ref="G122:H122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2</oddHeader>
    <oddFooter>&amp;LNQCL/ADDO/014&amp;CPage &amp;P of &amp;N&amp;R&amp;D &amp;T</oddFooter>
  </headerFooter>
  <rowBreaks count="1" manualBreakCount="1">
    <brk id="1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SST (AH)</vt:lpstr>
      <vt:lpstr>SST (A)</vt:lpstr>
      <vt:lpstr>Uniformity</vt:lpstr>
      <vt:lpstr>Amodiaquine HCl</vt:lpstr>
      <vt:lpstr>Artesunate</vt:lpstr>
      <vt:lpstr>'Amodiaquine HCl'!Print_Area</vt:lpstr>
      <vt:lpstr>Artesunate!Print_Area</vt:lpstr>
      <vt:lpstr>'SST (AH)'!Print_Area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MichaelBugigiSangale</cp:lastModifiedBy>
  <cp:lastPrinted>2015-10-21T09:39:21Z</cp:lastPrinted>
  <dcterms:created xsi:type="dcterms:W3CDTF">2005-07-05T10:19:27Z</dcterms:created>
  <dcterms:modified xsi:type="dcterms:W3CDTF">2015-12-04T05:44:50Z</dcterms:modified>
</cp:coreProperties>
</file>