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3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HCl'!$A$1:$N$125</definedName>
    <definedName name="_xlnm.Print_Area" localSheetId="4">Artesunate!$A$1:$N$125</definedName>
    <definedName name="_xlnm.Print_Area" localSheetId="0">'SST (AH)'!$A$1:$G$61</definedName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85" i="3" l="1"/>
  <c r="B31" i="3"/>
  <c r="B84" i="3" s="1"/>
  <c r="B116" i="5"/>
  <c r="D100" i="5" s="1"/>
  <c r="B98" i="5"/>
  <c r="F95" i="5"/>
  <c r="D95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21" i="4"/>
  <c r="B42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E39" i="5"/>
  <c r="D49" i="5"/>
  <c r="E40" i="5"/>
  <c r="E38" i="5"/>
  <c r="C76" i="5"/>
  <c r="D97" i="5"/>
  <c r="D98" i="5" s="1"/>
  <c r="D99" i="5" s="1"/>
  <c r="C56" i="5"/>
  <c r="B21" i="1"/>
  <c r="G38" i="5" l="1"/>
  <c r="G40" i="5"/>
  <c r="G91" i="5"/>
  <c r="E92" i="5"/>
  <c r="G93" i="5"/>
  <c r="G92" i="5"/>
  <c r="E91" i="5"/>
  <c r="E93" i="5"/>
  <c r="G39" i="5"/>
  <c r="E42" i="5"/>
  <c r="B45" i="3"/>
  <c r="D48" i="3" s="1"/>
  <c r="B87" i="3"/>
  <c r="B34" i="3"/>
  <c r="D44" i="3" s="1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B57" i="3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52" i="5" l="1"/>
  <c r="G95" i="5"/>
  <c r="D105" i="5"/>
  <c r="B69" i="3"/>
  <c r="B57" i="5"/>
  <c r="B69" i="5" s="1"/>
  <c r="E95" i="5"/>
  <c r="D103" i="5"/>
  <c r="E112" i="5" s="1"/>
  <c r="F112" i="5" s="1"/>
  <c r="D50" i="5"/>
  <c r="D51" i="5" s="1"/>
  <c r="G42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H74" i="5" l="1"/>
  <c r="H72" i="5"/>
  <c r="G76" i="5" s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H73" i="5" l="1"/>
  <c r="F116" i="5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<sst xmlns="http://schemas.openxmlformats.org/spreadsheetml/2006/main" count="435" uniqueCount="132">
  <si>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</si>
  <si>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</si>
  <si>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</si>
  <si>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</si>
  <si>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</si>
  <si>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</si>
  <si>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</si>
  <si>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</si>
  <si>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</si>
  <si>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</si>
  <si>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</si>
  <si>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</si>
  <si>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</si>
  <si>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</si>
  <si>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</si>
  <si>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</si>
  <si>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</si>
  <si>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</si>
  <si>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</si>
  <si>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</si>
  <si>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</si>
  <si>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</si>
  <si>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</si>
  <si>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</si>
  <si>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</si>
  <si>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</si>
  <si>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</si>
  <si>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</si>
  <si>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</si>
  <si>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</si>
  <si>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</si>
  <si>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</si>
  <si>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</si>
  <si>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</si>
  <si>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</si>
  <si>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</si>
  <si>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</si>
  <si>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</si>
  <si>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</si>
  <si>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</si>
  <si>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</si>
  <si>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</si>
  <si>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</si>
  <si>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</si>
  <si>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</si>
  <si>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</si>
  <si>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</si>
  <si>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</si>
  <si>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</si>
  <si>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</si>
  <si>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</si>
  <si>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</si>
  <si>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</si>
  <si>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</si>
  <si>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</si>
  <si>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</si>
  <si>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</si>
  <si>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</si>
  <si>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</si>
  <si>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</si>
  <si>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</si>
  <si>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</si>
  <si>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</si>
  <si>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</si>
  <si>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</si>
  <si>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</si>
  <si>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</si>
  <si>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</si>
  <si>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</si>
  <si>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</si>
  <si>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</si>
  <si>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</si>
  <si>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</si>
  <si>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</si>
  <si>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</si>
  <si>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</si>
  <si>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</si>
  <si>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</si>
  <si>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</si>
  <si>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</si>
  <si>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</si>
  <si>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</si>
  <si>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</si>
  <si>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</si>
  <si>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</si>
  <si>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</si>
  <si>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</si>
  <si>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</si>
  <si>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</si>
  <si>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</si>
  <si>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</si>
  <si>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</si>
  <si>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</si>
  <si>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</si>
  <si>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</si>
  <si>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</si>
  <si>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</si>
  <si>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</si>
  <si>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</si>
  <si>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</si>
  <si>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</si>
  <si>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</si>
  <si>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</si>
  <si>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</si>
  <si>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</si>
  <si>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</si>
  <si>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</si>
  <si>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</si>
  <si>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</si>
  <si>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</si>
  <si>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</si>
  <si>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</si>
  <si>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</si>
  <si>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</si>
  <si>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</si>
  <si>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</si>
  <si>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</si>
  <si>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</si>
  <si>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</si>
  <si>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</si>
  <si>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</si>
  <si>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</si>
  <si>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</si>
  <si>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Arteunate &amp; Amodiaquine</t>
  </si>
  <si>
    <t>Artesunate</t>
  </si>
  <si>
    <t>Amodiaquine HCl</t>
  </si>
  <si>
    <t>A7 1</t>
  </si>
  <si>
    <t>A15 2</t>
  </si>
  <si>
    <t>Amodiaquine</t>
  </si>
  <si>
    <t xml:space="preserve"> </t>
  </si>
  <si>
    <t>NDQD201508229</t>
  </si>
  <si>
    <t>Each bilayered tablet contains Artesunate 100mg and Amodiaquine 300mg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</si>
</sst>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4" fillId="2" borderId="0"/>
  </cellStyleXfs>
  <cellXfs count="35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7" fillId="3" borderId="60" xfId="0" applyFont="1" applyFill="1" applyBorder="1" applyAlignment="1" applyProtection="1">
      <alignment horizontal="center"/>
      <protection locked="0"/>
    </xf>
    <xf numFmtId="0" fontId="7" fillId="3" borderId="61" xfId="0" applyFont="1" applyFill="1" applyBorder="1" applyAlignment="1" applyProtection="1">
      <alignment horizontal="center"/>
      <protection locked="0"/>
    </xf>
    <xf numFmtId="2" fontId="7" fillId="3" borderId="60" xfId="0" applyNumberFormat="1" applyFont="1" applyFill="1" applyBorder="1" applyAlignment="1" applyProtection="1">
      <alignment horizontal="center"/>
      <protection locked="0"/>
    </xf>
    <xf numFmtId="2" fontId="7" fillId="3" borderId="62" xfId="0" applyNumberFormat="1" applyFont="1" applyFill="1" applyBorder="1" applyAlignment="1" applyProtection="1">
      <alignment horizontal="center"/>
      <protection locked="0"/>
    </xf>
    <xf numFmtId="0" fontId="7" fillId="3" borderId="63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/>
      <protection locked="0"/>
    </xf>
    <xf numFmtId="2" fontId="7" fillId="3" borderId="63" xfId="0" applyNumberFormat="1" applyFont="1" applyFill="1" applyBorder="1" applyAlignment="1" applyProtection="1">
      <alignment horizontal="center"/>
      <protection locked="0"/>
    </xf>
    <xf numFmtId="2" fontId="7" fillId="3" borderId="64" xfId="0" applyNumberFormat="1" applyFont="1" applyFill="1" applyBorder="1" applyAlignment="1" applyProtection="1">
      <alignment horizontal="center"/>
      <protection locked="0"/>
    </xf>
    <xf numFmtId="0" fontId="7" fillId="3" borderId="65" xfId="0" applyFont="1" applyFill="1" applyBorder="1" applyAlignment="1" applyProtection="1">
      <alignment horizontal="center"/>
      <protection locked="0"/>
    </xf>
    <xf numFmtId="0" fontId="7" fillId="3" borderId="66" xfId="0" applyFont="1" applyFill="1" applyBorder="1" applyAlignment="1" applyProtection="1">
      <alignment horizontal="center"/>
      <protection locked="0"/>
    </xf>
    <xf numFmtId="2" fontId="7" fillId="3" borderId="65" xfId="0" applyNumberFormat="1" applyFont="1" applyFill="1" applyBorder="1" applyAlignment="1" applyProtection="1">
      <alignment horizontal="center"/>
      <protection locked="0"/>
    </xf>
    <xf numFmtId="2" fontId="7" fillId="3" borderId="67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9" zoomScale="80" zoomScaleNormal="100" zoomScaleSheetLayoutView="80" workbookViewId="0">
      <selection activeCell="B45" sqref="B45:E50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125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v>27.22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B20/10*1/25</f>
        <v>0.10888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34036988</v>
      </c>
      <c r="C24" s="18">
        <v>2791.2</v>
      </c>
      <c r="D24" s="19">
        <v>1.9</v>
      </c>
      <c r="E24" s="20">
        <v>2</v>
      </c>
    </row>
    <row r="25" spans="1:5" ht="16.5" customHeight="1" x14ac:dyDescent="0.3">
      <c r="A25" s="17">
        <v>2</v>
      </c>
      <c r="B25" s="18">
        <v>34563946</v>
      </c>
      <c r="C25" s="18">
        <v>2765.5</v>
      </c>
      <c r="D25" s="19">
        <v>1.8</v>
      </c>
      <c r="E25" s="19">
        <v>2</v>
      </c>
    </row>
    <row r="26" spans="1:5" ht="16.5" customHeight="1" x14ac:dyDescent="0.3">
      <c r="A26" s="17">
        <v>3</v>
      </c>
      <c r="B26" s="18">
        <v>34277818</v>
      </c>
      <c r="C26" s="18">
        <v>2774</v>
      </c>
      <c r="D26" s="19">
        <v>1.9</v>
      </c>
      <c r="E26" s="19">
        <v>2</v>
      </c>
    </row>
    <row r="27" spans="1:5" ht="16.5" customHeight="1" x14ac:dyDescent="0.3">
      <c r="A27" s="17">
        <v>4</v>
      </c>
      <c r="B27" s="18">
        <v>34236139</v>
      </c>
      <c r="C27" s="18">
        <v>2733.8</v>
      </c>
      <c r="D27" s="19">
        <v>1.8</v>
      </c>
      <c r="E27" s="19">
        <v>2</v>
      </c>
    </row>
    <row r="28" spans="1:5" ht="16.5" customHeight="1" x14ac:dyDescent="0.3">
      <c r="A28" s="17">
        <v>5</v>
      </c>
      <c r="B28" s="18">
        <v>34338973</v>
      </c>
      <c r="C28" s="18">
        <v>2753.6</v>
      </c>
      <c r="D28" s="19">
        <v>1.8</v>
      </c>
      <c r="E28" s="19">
        <v>2</v>
      </c>
    </row>
    <row r="29" spans="1:5" ht="16.5" customHeight="1" x14ac:dyDescent="0.3">
      <c r="A29" s="17">
        <v>6</v>
      </c>
      <c r="B29" s="21">
        <v>34087434</v>
      </c>
      <c r="C29" s="21">
        <v>2774.2</v>
      </c>
      <c r="D29" s="22">
        <v>1.9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34256883</v>
      </c>
      <c r="C30" s="25">
        <f>AVERAGE(C24:C29)</f>
        <v>2765.3833333333332</v>
      </c>
      <c r="D30" s="26">
        <f>AVERAGE(D24:D29)</f>
        <v>1.8499999999999999</v>
      </c>
      <c r="E30" s="26">
        <f>AVERAGE(E24:E29)</f>
        <v>2</v>
      </c>
    </row>
    <row r="31" spans="1:5" ht="16.5" customHeight="1" x14ac:dyDescent="0.3">
      <c r="A31" s="27" t="s">
        <v>14</v>
      </c>
      <c r="B31" s="28">
        <f>(STDEV(B24:B29)/B30)</f>
        <v>5.5226477428737923E-3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6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27.22</v>
      </c>
      <c r="C41" s="71"/>
      <c r="D41" s="71"/>
      <c r="E41" s="71"/>
    </row>
    <row r="42" spans="1:5" ht="16.5" customHeight="1" x14ac:dyDescent="0.3">
      <c r="A42" s="8" t="s">
        <v>7</v>
      </c>
      <c r="B42" s="13">
        <f>B21</f>
        <v>0.10888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34036988</v>
      </c>
      <c r="C45" s="18">
        <v>2791.2</v>
      </c>
      <c r="D45" s="19">
        <v>1.9</v>
      </c>
      <c r="E45" s="20">
        <v>2</v>
      </c>
    </row>
    <row r="46" spans="1:5" ht="16.5" customHeight="1" x14ac:dyDescent="0.3">
      <c r="A46" s="17">
        <v>2</v>
      </c>
      <c r="B46" s="18">
        <v>34563946</v>
      </c>
      <c r="C46" s="18">
        <v>2765.5</v>
      </c>
      <c r="D46" s="19">
        <v>1.8</v>
      </c>
      <c r="E46" s="19">
        <v>2</v>
      </c>
    </row>
    <row r="47" spans="1:5" ht="16.5" customHeight="1" x14ac:dyDescent="0.3">
      <c r="A47" s="17">
        <v>3</v>
      </c>
      <c r="B47" s="18">
        <v>34277818</v>
      </c>
      <c r="C47" s="18">
        <v>2774</v>
      </c>
      <c r="D47" s="19">
        <v>1.9</v>
      </c>
      <c r="E47" s="19">
        <v>2</v>
      </c>
    </row>
    <row r="48" spans="1:5" ht="16.5" customHeight="1" x14ac:dyDescent="0.3">
      <c r="A48" s="17">
        <v>4</v>
      </c>
      <c r="B48" s="18">
        <v>34236139</v>
      </c>
      <c r="C48" s="18">
        <v>2733.8</v>
      </c>
      <c r="D48" s="19">
        <v>1.8</v>
      </c>
      <c r="E48" s="19">
        <v>2</v>
      </c>
    </row>
    <row r="49" spans="1:7" ht="16.5" customHeight="1" x14ac:dyDescent="0.3">
      <c r="A49" s="17">
        <v>5</v>
      </c>
      <c r="B49" s="18">
        <v>34338973</v>
      </c>
      <c r="C49" s="18">
        <v>2753.6</v>
      </c>
      <c r="D49" s="19">
        <v>1.8</v>
      </c>
      <c r="E49" s="19">
        <v>2</v>
      </c>
    </row>
    <row r="50" spans="1:7" ht="16.5" customHeight="1" x14ac:dyDescent="0.3">
      <c r="A50" s="17">
        <v>6</v>
      </c>
      <c r="B50" s="21">
        <v>34087434</v>
      </c>
      <c r="C50" s="21">
        <v>2774.2</v>
      </c>
      <c r="D50" s="22">
        <v>1.9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34256883</v>
      </c>
      <c r="C51" s="25">
        <f>AVERAGE(C45:C50)</f>
        <v>2765.3833333333332</v>
      </c>
      <c r="D51" s="26">
        <f>AVERAGE(D45:D50)</f>
        <v>1.8499999999999999</v>
      </c>
      <c r="E51" s="26">
        <f>AVERAGE(E45:E50)</f>
        <v>2</v>
      </c>
    </row>
    <row r="52" spans="1:7" ht="16.5" customHeight="1" x14ac:dyDescent="0.3">
      <c r="A52" s="27" t="s">
        <v>14</v>
      </c>
      <c r="B52" s="28">
        <f>(STDEV(B45:B50)/B51)</f>
        <v>5.5226477428737923E-3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6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299" t="s">
        <v>21</v>
      </c>
      <c r="C59" s="299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8" zoomScale="90" zoomScaleNormal="100" zoomScaleSheetLayoutView="90" workbookViewId="0">
      <selection activeCell="E39" sqref="E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v>27.22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B20/10*1/25</f>
        <v>0.10888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346">
        <v>3804356</v>
      </c>
      <c r="C24" s="347">
        <v>8482.7999999999993</v>
      </c>
      <c r="D24" s="348">
        <v>1</v>
      </c>
      <c r="E24" s="349">
        <v>8.5</v>
      </c>
    </row>
    <row r="25" spans="1:6" ht="16.5" customHeight="1" x14ac:dyDescent="0.3">
      <c r="A25" s="17">
        <v>2</v>
      </c>
      <c r="B25" s="350">
        <v>3833845</v>
      </c>
      <c r="C25" s="351">
        <v>8435.4</v>
      </c>
      <c r="D25" s="352">
        <v>1</v>
      </c>
      <c r="E25" s="353">
        <v>8.5</v>
      </c>
    </row>
    <row r="26" spans="1:6" ht="16.5" customHeight="1" x14ac:dyDescent="0.3">
      <c r="A26" s="17">
        <v>3</v>
      </c>
      <c r="B26" s="350">
        <v>3831175</v>
      </c>
      <c r="C26" s="351">
        <v>8432.4</v>
      </c>
      <c r="D26" s="352">
        <v>1</v>
      </c>
      <c r="E26" s="353">
        <v>8.5</v>
      </c>
    </row>
    <row r="27" spans="1:6" ht="16.5" customHeight="1" x14ac:dyDescent="0.3">
      <c r="A27" s="17">
        <v>4</v>
      </c>
      <c r="B27" s="350">
        <v>3809340</v>
      </c>
      <c r="C27" s="351">
        <v>8471.2000000000007</v>
      </c>
      <c r="D27" s="352">
        <v>1</v>
      </c>
      <c r="E27" s="353">
        <v>8.5</v>
      </c>
    </row>
    <row r="28" spans="1:6" ht="16.5" customHeight="1" x14ac:dyDescent="0.3">
      <c r="A28" s="17">
        <v>5</v>
      </c>
      <c r="B28" s="350">
        <v>3820925</v>
      </c>
      <c r="C28" s="351">
        <v>8451.7000000000007</v>
      </c>
      <c r="D28" s="352">
        <v>1.1000000000000001</v>
      </c>
      <c r="E28" s="353">
        <v>8.5</v>
      </c>
    </row>
    <row r="29" spans="1:6" ht="16.5" customHeight="1" x14ac:dyDescent="0.3">
      <c r="A29" s="17">
        <v>6</v>
      </c>
      <c r="B29" s="354">
        <v>3831179</v>
      </c>
      <c r="C29" s="355">
        <v>8441.5</v>
      </c>
      <c r="D29" s="356">
        <v>1</v>
      </c>
      <c r="E29" s="357">
        <v>8.5</v>
      </c>
    </row>
    <row r="30" spans="1:6" ht="16.5" customHeight="1" x14ac:dyDescent="0.3">
      <c r="A30" s="23" t="s">
        <v>13</v>
      </c>
      <c r="B30" s="24">
        <f>AVERAGE(B24:B29)</f>
        <v>3821803.3333333335</v>
      </c>
      <c r="C30" s="25">
        <f>AVERAGE(C24:C29)</f>
        <v>8452.5</v>
      </c>
      <c r="D30" s="26">
        <f>AVERAGE(D24:D29)</f>
        <v>1.0166666666666666</v>
      </c>
      <c r="E30" s="26">
        <f>AVERAGE(E24:E29)</f>
        <v>8.5</v>
      </c>
    </row>
    <row r="31" spans="1:6" ht="16.5" customHeight="1" x14ac:dyDescent="0.3">
      <c r="A31" s="27" t="s">
        <v>14</v>
      </c>
      <c r="B31" s="28">
        <f>(STDEV(B24:B29)/B30)</f>
        <v>3.2707043226526248E-3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27.22</v>
      </c>
      <c r="C41" s="10"/>
      <c r="D41" s="10"/>
      <c r="E41" s="10"/>
    </row>
    <row r="42" spans="1:6" ht="16.5" customHeight="1" x14ac:dyDescent="0.3">
      <c r="A42" s="7" t="s">
        <v>7</v>
      </c>
      <c r="B42" s="13">
        <f>B21</f>
        <v>0.10888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346">
        <v>3804356</v>
      </c>
      <c r="C45" s="347">
        <v>8482.7999999999993</v>
      </c>
      <c r="D45" s="348">
        <v>1</v>
      </c>
      <c r="E45" s="349">
        <v>8.5</v>
      </c>
    </row>
    <row r="46" spans="1:6" ht="16.5" customHeight="1" x14ac:dyDescent="0.3">
      <c r="A46" s="17">
        <v>2</v>
      </c>
      <c r="B46" s="350">
        <v>3833845</v>
      </c>
      <c r="C46" s="351">
        <v>8435.4</v>
      </c>
      <c r="D46" s="352">
        <v>1</v>
      </c>
      <c r="E46" s="353">
        <v>8.5</v>
      </c>
    </row>
    <row r="47" spans="1:6" ht="16.5" customHeight="1" x14ac:dyDescent="0.3">
      <c r="A47" s="17">
        <v>3</v>
      </c>
      <c r="B47" s="350">
        <v>3831175</v>
      </c>
      <c r="C47" s="351">
        <v>8432.4</v>
      </c>
      <c r="D47" s="352">
        <v>1</v>
      </c>
      <c r="E47" s="353">
        <v>8.5</v>
      </c>
    </row>
    <row r="48" spans="1:6" ht="16.5" customHeight="1" x14ac:dyDescent="0.3">
      <c r="A48" s="17">
        <v>4</v>
      </c>
      <c r="B48" s="350">
        <v>3809340</v>
      </c>
      <c r="C48" s="351">
        <v>8471.2000000000007</v>
      </c>
      <c r="D48" s="352">
        <v>1</v>
      </c>
      <c r="E48" s="353">
        <v>8.5</v>
      </c>
    </row>
    <row r="49" spans="1:7" ht="16.5" customHeight="1" x14ac:dyDescent="0.3">
      <c r="A49" s="17">
        <v>5</v>
      </c>
      <c r="B49" s="350">
        <v>3820925</v>
      </c>
      <c r="C49" s="351">
        <v>8451.7000000000007</v>
      </c>
      <c r="D49" s="352">
        <v>1.1000000000000001</v>
      </c>
      <c r="E49" s="353">
        <v>8.5</v>
      </c>
    </row>
    <row r="50" spans="1:7" ht="16.5" customHeight="1" x14ac:dyDescent="0.3">
      <c r="A50" s="17">
        <v>6</v>
      </c>
      <c r="B50" s="354">
        <v>3831179</v>
      </c>
      <c r="C50" s="355">
        <v>8441.5</v>
      </c>
      <c r="D50" s="356">
        <v>1</v>
      </c>
      <c r="E50" s="357">
        <v>8.5</v>
      </c>
    </row>
    <row r="51" spans="1:7" ht="16.5" customHeight="1" x14ac:dyDescent="0.3">
      <c r="A51" s="23" t="s">
        <v>13</v>
      </c>
      <c r="B51" s="24">
        <f>AVERAGE(B45:B50)</f>
        <v>3821803.3333333335</v>
      </c>
      <c r="C51" s="25">
        <f>AVERAGE(C45:C50)</f>
        <v>8452.5</v>
      </c>
      <c r="D51" s="26">
        <f>AVERAGE(D45:D50)</f>
        <v>1.0166666666666666</v>
      </c>
      <c r="E51" s="26">
        <f>AVERAGE(E45:E50)</f>
        <v>8.5</v>
      </c>
    </row>
    <row r="52" spans="1:7" ht="16.5" customHeight="1" x14ac:dyDescent="0.3">
      <c r="A52" s="27" t="s">
        <v>14</v>
      </c>
      <c r="B52" s="28">
        <f>(STDEV(B45:B50)/B51)</f>
        <v>3.2707043226526248E-3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9" t="s">
        <v>21</v>
      </c>
      <c r="C59" s="299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3" t="s">
        <v>26</v>
      </c>
      <c r="B11" s="304"/>
      <c r="C11" s="304"/>
      <c r="D11" s="304"/>
      <c r="E11" s="304"/>
      <c r="F11" s="305"/>
      <c r="G11" s="90"/>
    </row>
    <row r="12" spans="1:7" ht="16.5" customHeight="1" x14ac:dyDescent="0.3">
      <c r="A12" s="302" t="s">
        <v>27</v>
      </c>
      <c r="B12" s="302"/>
      <c r="C12" s="302"/>
      <c r="D12" s="302"/>
      <c r="E12" s="302"/>
      <c r="F12" s="302"/>
      <c r="G12" s="89"/>
    </row>
    <row r="14" spans="1:7" ht="16.5" customHeight="1" x14ac:dyDescent="0.3">
      <c r="A14" s="307" t="s">
        <v>28</v>
      </c>
      <c r="B14" s="307"/>
      <c r="C14" s="60" t="s">
        <v>122</v>
      </c>
    </row>
    <row r="15" spans="1:7" ht="16.5" customHeight="1" x14ac:dyDescent="0.3">
      <c r="A15" s="307" t="s">
        <v>29</v>
      </c>
      <c r="B15" s="307"/>
      <c r="C15" s="60" t="s">
        <v>130</v>
      </c>
    </row>
    <row r="16" spans="1:7" ht="16.5" customHeight="1" x14ac:dyDescent="0.3">
      <c r="A16" s="307" t="s">
        <v>30</v>
      </c>
      <c r="B16" s="307"/>
      <c r="C16" s="60" t="s">
        <v>123</v>
      </c>
    </row>
    <row r="17" spans="1:5" ht="16.5" customHeight="1" x14ac:dyDescent="0.3">
      <c r="A17" s="307" t="s">
        <v>31</v>
      </c>
      <c r="B17" s="307"/>
      <c r="C17" s="60" t="s">
        <v>131</v>
      </c>
    </row>
    <row r="18" spans="1:5" ht="16.5" customHeight="1" x14ac:dyDescent="0.3">
      <c r="A18" s="307" t="s">
        <v>32</v>
      </c>
      <c r="B18" s="307"/>
      <c r="C18" s="96">
        <v>42312</v>
      </c>
    </row>
    <row r="19" spans="1:5" ht="16.5" customHeight="1" x14ac:dyDescent="0.3">
      <c r="A19" s="307" t="s">
        <v>33</v>
      </c>
      <c r="B19" s="307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02" t="s">
        <v>1</v>
      </c>
      <c r="B21" s="302"/>
      <c r="C21" s="59" t="s">
        <v>34</v>
      </c>
      <c r="D21" s="66"/>
    </row>
    <row r="22" spans="1:5" ht="15.75" customHeight="1" x14ac:dyDescent="0.3">
      <c r="A22" s="306"/>
      <c r="B22" s="306"/>
      <c r="C22" s="57"/>
      <c r="D22" s="306"/>
      <c r="E22" s="306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568.44000000000005</v>
      </c>
      <c r="D24" s="86">
        <f t="shared" ref="D24:D43" si="0">(C24-$C$46)/$C$46</f>
        <v>-2.3824253353166213E-3</v>
      </c>
      <c r="E24" s="53"/>
    </row>
    <row r="25" spans="1:5" ht="15.75" customHeight="1" x14ac:dyDescent="0.3">
      <c r="C25" s="94">
        <v>576.82000000000005</v>
      </c>
      <c r="D25" s="87">
        <f t="shared" si="0"/>
        <v>1.2324553898533991E-2</v>
      </c>
      <c r="E25" s="53"/>
    </row>
    <row r="26" spans="1:5" ht="15.75" customHeight="1" x14ac:dyDescent="0.3">
      <c r="C26" s="94">
        <v>565.62</v>
      </c>
      <c r="D26" s="87">
        <f t="shared" si="0"/>
        <v>-7.3315519987366068E-3</v>
      </c>
      <c r="E26" s="53"/>
    </row>
    <row r="27" spans="1:5" ht="15.75" customHeight="1" x14ac:dyDescent="0.3">
      <c r="C27" s="94">
        <v>570.29999999999995</v>
      </c>
      <c r="D27" s="87">
        <f t="shared" si="0"/>
        <v>8.8189225119419989E-4</v>
      </c>
      <c r="E27" s="53"/>
    </row>
    <row r="28" spans="1:5" ht="15.75" customHeight="1" x14ac:dyDescent="0.3">
      <c r="C28" s="94">
        <v>564.84</v>
      </c>
      <c r="D28" s="87">
        <f t="shared" si="0"/>
        <v>-8.7004593737250412E-3</v>
      </c>
      <c r="E28" s="53"/>
    </row>
    <row r="29" spans="1:5" ht="15.75" customHeight="1" x14ac:dyDescent="0.3">
      <c r="C29" s="94">
        <v>573.26</v>
      </c>
      <c r="D29" s="87">
        <f t="shared" si="0"/>
        <v>6.0767202383300431E-3</v>
      </c>
      <c r="E29" s="53"/>
    </row>
    <row r="30" spans="1:5" ht="15.75" customHeight="1" x14ac:dyDescent="0.3">
      <c r="C30" s="94">
        <v>570.97</v>
      </c>
      <c r="D30" s="87">
        <f t="shared" si="0"/>
        <v>2.0577485861203318E-3</v>
      </c>
      <c r="E30" s="53"/>
    </row>
    <row r="31" spans="1:5" ht="15.75" customHeight="1" x14ac:dyDescent="0.3">
      <c r="C31" s="94">
        <v>581.35</v>
      </c>
      <c r="D31" s="87">
        <f t="shared" si="0"/>
        <v>2.0274746730197822E-2</v>
      </c>
      <c r="E31" s="53"/>
    </row>
    <row r="32" spans="1:5" ht="15.75" customHeight="1" x14ac:dyDescent="0.3">
      <c r="C32" s="94">
        <v>570.77</v>
      </c>
      <c r="D32" s="87">
        <f t="shared" si="0"/>
        <v>1.706746695097564E-3</v>
      </c>
      <c r="E32" s="53"/>
    </row>
    <row r="33" spans="1:7" ht="15.75" customHeight="1" x14ac:dyDescent="0.3">
      <c r="C33" s="94">
        <v>570.75</v>
      </c>
      <c r="D33" s="87">
        <f t="shared" si="0"/>
        <v>1.6716465059953272E-3</v>
      </c>
      <c r="E33" s="53"/>
    </row>
    <row r="34" spans="1:7" ht="15.75" customHeight="1" x14ac:dyDescent="0.3">
      <c r="C34" s="94">
        <v>565.94000000000005</v>
      </c>
      <c r="D34" s="87">
        <f t="shared" si="0"/>
        <v>-6.7699489731002189E-3</v>
      </c>
      <c r="E34" s="53"/>
    </row>
    <row r="35" spans="1:7" ht="15.75" customHeight="1" x14ac:dyDescent="0.3">
      <c r="C35" s="94">
        <v>560.54999999999995</v>
      </c>
      <c r="D35" s="87">
        <f t="shared" si="0"/>
        <v>-1.6229449936161832E-2</v>
      </c>
      <c r="E35" s="53"/>
    </row>
    <row r="36" spans="1:7" ht="15.75" customHeight="1" x14ac:dyDescent="0.3">
      <c r="C36" s="94">
        <v>573.66999999999996</v>
      </c>
      <c r="D36" s="87">
        <f t="shared" si="0"/>
        <v>6.7962741149264977E-3</v>
      </c>
      <c r="E36" s="53"/>
    </row>
    <row r="37" spans="1:7" ht="15.75" customHeight="1" x14ac:dyDescent="0.3">
      <c r="C37" s="94">
        <v>568.73</v>
      </c>
      <c r="D37" s="87">
        <f t="shared" si="0"/>
        <v>-1.8734725933337876E-3</v>
      </c>
      <c r="E37" s="53"/>
    </row>
    <row r="38" spans="1:7" ht="15.75" customHeight="1" x14ac:dyDescent="0.3">
      <c r="C38" s="94">
        <v>559.20000000000005</v>
      </c>
      <c r="D38" s="87">
        <f t="shared" si="0"/>
        <v>-1.8598712700564814E-2</v>
      </c>
      <c r="E38" s="53"/>
    </row>
    <row r="39" spans="1:7" ht="15.75" customHeight="1" x14ac:dyDescent="0.3">
      <c r="C39" s="94">
        <v>567.05999999999995</v>
      </c>
      <c r="D39" s="87">
        <f t="shared" si="0"/>
        <v>-4.8043383833733582E-3</v>
      </c>
      <c r="E39" s="53"/>
    </row>
    <row r="40" spans="1:7" ht="15.75" customHeight="1" x14ac:dyDescent="0.3">
      <c r="C40" s="94">
        <v>574.78</v>
      </c>
      <c r="D40" s="87">
        <f t="shared" si="0"/>
        <v>8.7443346101024385E-3</v>
      </c>
      <c r="E40" s="53"/>
    </row>
    <row r="41" spans="1:7" ht="15.75" customHeight="1" x14ac:dyDescent="0.3">
      <c r="C41" s="94">
        <v>573.20000000000005</v>
      </c>
      <c r="D41" s="87">
        <f t="shared" si="0"/>
        <v>5.9714196710233328E-3</v>
      </c>
      <c r="E41" s="53"/>
    </row>
    <row r="42" spans="1:7" ht="15.75" customHeight="1" x14ac:dyDescent="0.3">
      <c r="C42" s="94">
        <v>568.46</v>
      </c>
      <c r="D42" s="87">
        <f t="shared" si="0"/>
        <v>-2.3473251462143843E-3</v>
      </c>
      <c r="E42" s="53"/>
    </row>
    <row r="43" spans="1:7" ht="16.5" customHeight="1" x14ac:dyDescent="0.3">
      <c r="C43" s="95">
        <v>571.24</v>
      </c>
      <c r="D43" s="88">
        <f t="shared" si="0"/>
        <v>2.5316011390009285E-3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11395.950000000003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569.79750000000013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00">
        <f>C46</f>
        <v>569.79750000000013</v>
      </c>
      <c r="C49" s="92">
        <f>-IF(C46&lt;=80,10%,IF(C46&lt;250,7.5%,5%))</f>
        <v>-0.05</v>
      </c>
      <c r="D49" s="80">
        <f>IF(C46&lt;=80,C46*0.9,IF(C46&lt;250,C46*0.925,C46*0.95))</f>
        <v>541.30762500000014</v>
      </c>
    </row>
    <row r="50" spans="1:6" ht="17.25" customHeight="1" x14ac:dyDescent="0.3">
      <c r="B50" s="301"/>
      <c r="C50" s="93">
        <f>IF(C46&lt;=80, 10%, IF(C46&lt;250, 7.5%, 5%))</f>
        <v>0.05</v>
      </c>
      <c r="D50" s="80">
        <f>IF(C46&lt;=80, C46*1.1, IF(C46&lt;250, C46*1.075, C46*1.05))</f>
        <v>598.28737500000011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42339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100" zoomScale="60" zoomScaleNormal="40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08" t="s">
        <v>40</v>
      </c>
      <c r="B1" s="308"/>
      <c r="C1" s="308"/>
      <c r="D1" s="308"/>
      <c r="E1" s="308"/>
      <c r="F1" s="308"/>
      <c r="G1" s="308"/>
      <c r="H1" s="308"/>
      <c r="I1" s="308"/>
    </row>
    <row r="2" spans="1:9" ht="18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</row>
    <row r="3" spans="1:9" ht="18.75" customHeight="1" x14ac:dyDescent="0.25">
      <c r="A3" s="308"/>
      <c r="B3" s="308"/>
      <c r="C3" s="308"/>
      <c r="D3" s="308"/>
      <c r="E3" s="308"/>
      <c r="F3" s="308"/>
      <c r="G3" s="308"/>
      <c r="H3" s="308"/>
      <c r="I3" s="308"/>
    </row>
    <row r="4" spans="1:9" ht="18.75" customHeight="1" x14ac:dyDescent="0.25">
      <c r="A4" s="308"/>
      <c r="B4" s="308"/>
      <c r="C4" s="308"/>
      <c r="D4" s="308"/>
      <c r="E4" s="308"/>
      <c r="F4" s="308"/>
      <c r="G4" s="308"/>
      <c r="H4" s="308"/>
      <c r="I4" s="308"/>
    </row>
    <row r="5" spans="1:9" ht="18.75" customHeight="1" x14ac:dyDescent="0.25">
      <c r="A5" s="308"/>
      <c r="B5" s="308"/>
      <c r="C5" s="308"/>
      <c r="D5" s="308"/>
      <c r="E5" s="308"/>
      <c r="F5" s="308"/>
      <c r="G5" s="308"/>
      <c r="H5" s="308"/>
      <c r="I5" s="308"/>
    </row>
    <row r="6" spans="1:9" ht="18.75" customHeight="1" x14ac:dyDescent="0.25">
      <c r="A6" s="308"/>
      <c r="B6" s="308"/>
      <c r="C6" s="308"/>
      <c r="D6" s="308"/>
      <c r="E6" s="308"/>
      <c r="F6" s="308"/>
      <c r="G6" s="308"/>
      <c r="H6" s="308"/>
      <c r="I6" s="308"/>
    </row>
    <row r="7" spans="1:9" ht="18.75" customHeight="1" x14ac:dyDescent="0.25">
      <c r="A7" s="308"/>
      <c r="B7" s="308"/>
      <c r="C7" s="308"/>
      <c r="D7" s="308"/>
      <c r="E7" s="308"/>
      <c r="F7" s="308"/>
      <c r="G7" s="308"/>
      <c r="H7" s="308"/>
      <c r="I7" s="308"/>
    </row>
    <row r="8" spans="1:9" x14ac:dyDescent="0.25">
      <c r="A8" s="309" t="s">
        <v>41</v>
      </c>
      <c r="B8" s="309"/>
      <c r="C8" s="309"/>
      <c r="D8" s="309"/>
      <c r="E8" s="309"/>
      <c r="F8" s="309"/>
      <c r="G8" s="309"/>
      <c r="H8" s="309"/>
      <c r="I8" s="309"/>
    </row>
    <row r="9" spans="1:9" x14ac:dyDescent="0.25">
      <c r="A9" s="309"/>
      <c r="B9" s="309"/>
      <c r="C9" s="309"/>
      <c r="D9" s="309"/>
      <c r="E9" s="309"/>
      <c r="F9" s="309"/>
      <c r="G9" s="309"/>
      <c r="H9" s="309"/>
      <c r="I9" s="309"/>
    </row>
    <row r="10" spans="1:9" x14ac:dyDescent="0.25">
      <c r="A10" s="309"/>
      <c r="B10" s="309"/>
      <c r="C10" s="309"/>
      <c r="D10" s="309"/>
      <c r="E10" s="309"/>
      <c r="F10" s="309"/>
      <c r="G10" s="309"/>
      <c r="H10" s="309"/>
      <c r="I10" s="309"/>
    </row>
    <row r="11" spans="1:9" x14ac:dyDescent="0.25">
      <c r="A11" s="309"/>
      <c r="B11" s="309"/>
      <c r="C11" s="309"/>
      <c r="D11" s="309"/>
      <c r="E11" s="309"/>
      <c r="F11" s="309"/>
      <c r="G11" s="309"/>
      <c r="H11" s="309"/>
      <c r="I11" s="309"/>
    </row>
    <row r="12" spans="1:9" x14ac:dyDescent="0.25">
      <c r="A12" s="309"/>
      <c r="B12" s="309"/>
      <c r="C12" s="309"/>
      <c r="D12" s="309"/>
      <c r="E12" s="309"/>
      <c r="F12" s="309"/>
      <c r="G12" s="309"/>
      <c r="H12" s="309"/>
      <c r="I12" s="309"/>
    </row>
    <row r="13" spans="1:9" x14ac:dyDescent="0.25">
      <c r="A13" s="309"/>
      <c r="B13" s="309"/>
      <c r="C13" s="309"/>
      <c r="D13" s="309"/>
      <c r="E13" s="309"/>
      <c r="F13" s="309"/>
      <c r="G13" s="309"/>
      <c r="H13" s="309"/>
      <c r="I13" s="309"/>
    </row>
    <row r="14" spans="1:9" x14ac:dyDescent="0.25">
      <c r="A14" s="309"/>
      <c r="B14" s="309"/>
      <c r="C14" s="309"/>
      <c r="D14" s="309"/>
      <c r="E14" s="309"/>
      <c r="F14" s="309"/>
      <c r="G14" s="309"/>
      <c r="H14" s="309"/>
      <c r="I14" s="309"/>
    </row>
    <row r="15" spans="1:9" ht="19.5" customHeight="1" x14ac:dyDescent="0.3">
      <c r="A15" s="97"/>
    </row>
    <row r="16" spans="1:9" ht="19.5" customHeight="1" x14ac:dyDescent="0.3">
      <c r="A16" s="341" t="s">
        <v>26</v>
      </c>
      <c r="B16" s="342"/>
      <c r="C16" s="342"/>
      <c r="D16" s="342"/>
      <c r="E16" s="342"/>
      <c r="F16" s="342"/>
      <c r="G16" s="342"/>
      <c r="H16" s="343"/>
    </row>
    <row r="17" spans="1:14" ht="20.25" customHeight="1" x14ac:dyDescent="0.25">
      <c r="A17" s="344" t="s">
        <v>42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4">
      <c r="A18" s="99" t="s">
        <v>28</v>
      </c>
      <c r="B18" s="340" t="s">
        <v>121</v>
      </c>
      <c r="C18" s="34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NDQD201508229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45" t="s">
        <v>128</v>
      </c>
      <c r="C20" s="34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45" t="str">
        <f>Uniformity!C17</f>
        <v>Each bilayered tablet contains Artesunate 100mg and Amodiaquine 300mg</v>
      </c>
      <c r="C21" s="345"/>
      <c r="D21" s="345"/>
      <c r="E21" s="345"/>
      <c r="F21" s="345"/>
      <c r="G21" s="345"/>
      <c r="H21" s="34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40" t="s">
        <v>125</v>
      </c>
      <c r="C26" s="340"/>
    </row>
    <row r="27" spans="1:14" ht="26.25" customHeight="1" x14ac:dyDescent="0.4">
      <c r="A27" s="108" t="s">
        <v>43</v>
      </c>
      <c r="B27" s="337" t="s">
        <v>126</v>
      </c>
      <c r="C27" s="337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16" t="s">
        <v>45</v>
      </c>
      <c r="D29" s="317"/>
      <c r="E29" s="317"/>
      <c r="F29" s="317"/>
      <c r="G29" s="318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19" t="s">
        <v>48</v>
      </c>
      <c r="D31" s="320"/>
      <c r="E31" s="320"/>
      <c r="F31" s="320"/>
      <c r="G31" s="320"/>
      <c r="H31" s="321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19" t="s">
        <v>50</v>
      </c>
      <c r="D32" s="320"/>
      <c r="E32" s="320"/>
      <c r="F32" s="320"/>
      <c r="G32" s="320"/>
      <c r="H32" s="321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22" t="s">
        <v>54</v>
      </c>
      <c r="E36" s="339"/>
      <c r="F36" s="322" t="s">
        <v>55</v>
      </c>
      <c r="G36" s="323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34507432</v>
      </c>
      <c r="E38" s="132">
        <f>IF(ISBLANK(D38),"-",$D$48/$D$45*D38)</f>
        <v>35961644.666493602</v>
      </c>
      <c r="F38" s="131">
        <v>36290399</v>
      </c>
      <c r="G38" s="133">
        <f>IF(ISBLANK(F38),"-",$D$48/$F$45*F38)</f>
        <v>36122229.37700469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34049062</v>
      </c>
      <c r="E39" s="137">
        <f>IF(ISBLANK(D39),"-",$D$48/$D$45*D39)</f>
        <v>35483958.031748347</v>
      </c>
      <c r="F39" s="136">
        <v>36177951</v>
      </c>
      <c r="G39" s="138">
        <f>IF(ISBLANK(F39),"-",$D$48/$F$45*F39)</f>
        <v>36010302.460770302</v>
      </c>
      <c r="I39" s="324">
        <f>ABS((F43/D43*D42)-F42)/D42</f>
        <v>1.0696484277380019E-2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34055048</v>
      </c>
      <c r="E40" s="137">
        <f>IF(ISBLANK(D40),"-",$D$48/$D$45*D40)</f>
        <v>35490196.293841384</v>
      </c>
      <c r="F40" s="136">
        <v>36062879</v>
      </c>
      <c r="G40" s="138">
        <f>IF(ISBLANK(F40),"-",$D$48/$F$45*F40)</f>
        <v>35895763.7041457</v>
      </c>
      <c r="I40" s="324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34203847.333333336</v>
      </c>
      <c r="E42" s="147">
        <f>AVERAGE(E38:E41)</f>
        <v>35645266.330694444</v>
      </c>
      <c r="F42" s="146">
        <f>AVERAGE(F38:F41)</f>
        <v>36177076.333333336</v>
      </c>
      <c r="G42" s="148">
        <f>AVERAGE(G38:G41)</f>
        <v>36009431.8473069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14.47</v>
      </c>
      <c r="E43" s="139"/>
      <c r="F43" s="151">
        <v>15.15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12.00653303481891</v>
      </c>
      <c r="E44" s="154"/>
      <c r="F44" s="153">
        <f>F43*$B$34</f>
        <v>12.570765409641083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11.994526501784092</v>
      </c>
      <c r="E45" s="157"/>
      <c r="F45" s="156">
        <f>F44*$B$30/100</f>
        <v>12.558194644231444</v>
      </c>
      <c r="H45" s="149"/>
    </row>
    <row r="46" spans="1:14" ht="19.5" customHeight="1" x14ac:dyDescent="0.3">
      <c r="A46" s="310" t="s">
        <v>73</v>
      </c>
      <c r="B46" s="311"/>
      <c r="C46" s="152" t="s">
        <v>74</v>
      </c>
      <c r="D46" s="158">
        <f>D45/$B$45</f>
        <v>0.19191242402854547</v>
      </c>
      <c r="E46" s="159"/>
      <c r="F46" s="160">
        <f>F45/$B$45</f>
        <v>0.20093111430770311</v>
      </c>
      <c r="H46" s="149"/>
    </row>
    <row r="47" spans="1:14" ht="27" customHeight="1" x14ac:dyDescent="0.4">
      <c r="A47" s="312"/>
      <c r="B47" s="313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35827349.089000672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7.6411809735600095E-3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100mg and Amodiaquine 300mg</v>
      </c>
    </row>
    <row r="56" spans="1:12" ht="26.25" customHeight="1" x14ac:dyDescent="0.4">
      <c r="A56" s="176" t="s">
        <v>82</v>
      </c>
      <c r="B56" s="177">
        <v>300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569.79750000000013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50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4</v>
      </c>
      <c r="C60" s="327" t="s">
        <v>89</v>
      </c>
      <c r="D60" s="330">
        <v>573.04999999999995</v>
      </c>
      <c r="E60" s="181">
        <v>1</v>
      </c>
      <c r="F60" s="182"/>
      <c r="G60" s="271" t="str">
        <f>IF(ISBLANK(F60),"-",(F60/$D$50*$D$47*$B$68)*($B$57/$D$60))</f>
        <v>-</v>
      </c>
      <c r="H60" s="183" t="str">
        <f>IF(ISBLANK(F60),"-",G60/$B$56)</f>
        <v>-</v>
      </c>
      <c r="L60" s="111"/>
    </row>
    <row r="61" spans="1:12" s="14" customFormat="1" ht="26.25" customHeight="1" x14ac:dyDescent="0.4">
      <c r="A61" s="123" t="s">
        <v>90</v>
      </c>
      <c r="B61" s="124">
        <v>100</v>
      </c>
      <c r="C61" s="328"/>
      <c r="D61" s="331"/>
      <c r="E61" s="184">
        <v>2</v>
      </c>
      <c r="F61" s="136">
        <v>45587653</v>
      </c>
      <c r="G61" s="272">
        <f>IF(ISBLANK(F61),"-",(F61/$D$50*$D$47*$B$68)*($B$57/$D$60))</f>
        <v>316.30101807147986</v>
      </c>
      <c r="H61" s="185">
        <f t="shared" ref="H61:H71" si="0">IF(ISBLANK(F61),"-",G61/$B$56)</f>
        <v>1.0543367269049329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28"/>
      <c r="D62" s="331"/>
      <c r="E62" s="184">
        <v>3</v>
      </c>
      <c r="F62" s="186">
        <v>46535748</v>
      </c>
      <c r="G62" s="272">
        <f>IF(ISBLANK(F62),"-",(F62/$D$50*$D$47*$B$68)*($B$57/$D$60))</f>
        <v>322.87918987884359</v>
      </c>
      <c r="H62" s="185">
        <f t="shared" si="0"/>
        <v>1.076263966262812</v>
      </c>
      <c r="L62" s="111"/>
    </row>
    <row r="63" spans="1:12" ht="27" customHeight="1" x14ac:dyDescent="0.4">
      <c r="A63" s="123" t="s">
        <v>92</v>
      </c>
      <c r="B63" s="124">
        <v>1</v>
      </c>
      <c r="C63" s="338"/>
      <c r="D63" s="332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7" t="s">
        <v>94</v>
      </c>
      <c r="D64" s="330">
        <v>576.58000000000004</v>
      </c>
      <c r="E64" s="181">
        <v>1</v>
      </c>
      <c r="F64" s="182">
        <v>44961583</v>
      </c>
      <c r="G64" s="273">
        <f>IF(ISBLANK(F64),"-",(F64/$D$50*$D$47*$B$68)*($B$57/$D$64))</f>
        <v>310.04725618091192</v>
      </c>
      <c r="H64" s="189">
        <f>IF(ISBLANK(F64),"-",G64/$B$56)</f>
        <v>1.033490853936373</v>
      </c>
    </row>
    <row r="65" spans="1:8" ht="26.25" customHeight="1" x14ac:dyDescent="0.4">
      <c r="A65" s="123" t="s">
        <v>95</v>
      </c>
      <c r="B65" s="124">
        <v>1</v>
      </c>
      <c r="C65" s="328"/>
      <c r="D65" s="331"/>
      <c r="E65" s="184">
        <v>2</v>
      </c>
      <c r="F65" s="136">
        <v>45025222</v>
      </c>
      <c r="G65" s="274">
        <f>IF(ISBLANK(F65),"-",(F65/$D$50*$D$47*$B$68)*($B$57/$D$64))</f>
        <v>310.4860996561539</v>
      </c>
      <c r="H65" s="190">
        <f t="shared" si="0"/>
        <v>1.0349536655205129</v>
      </c>
    </row>
    <row r="66" spans="1:8" ht="26.25" customHeight="1" x14ac:dyDescent="0.4">
      <c r="A66" s="123" t="s">
        <v>96</v>
      </c>
      <c r="B66" s="124">
        <v>1</v>
      </c>
      <c r="C66" s="328"/>
      <c r="D66" s="331"/>
      <c r="E66" s="184">
        <v>3</v>
      </c>
      <c r="F66" s="136">
        <v>45331160</v>
      </c>
      <c r="G66" s="274">
        <f>IF(ISBLANK(F66),"-",(F66/$D$50*$D$47*$B$68)*($B$57/$D$64))</f>
        <v>312.59579489222858</v>
      </c>
      <c r="H66" s="190">
        <f t="shared" si="0"/>
        <v>1.0419859829740952</v>
      </c>
    </row>
    <row r="67" spans="1:8" ht="27" customHeight="1" x14ac:dyDescent="0.4">
      <c r="A67" s="123" t="s">
        <v>97</v>
      </c>
      <c r="B67" s="124">
        <v>1</v>
      </c>
      <c r="C67" s="338"/>
      <c r="D67" s="332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1250</v>
      </c>
      <c r="C68" s="327" t="s">
        <v>99</v>
      </c>
      <c r="D68" s="330">
        <v>570.84</v>
      </c>
      <c r="E68" s="181">
        <v>1</v>
      </c>
      <c r="F68" s="182">
        <v>44059213</v>
      </c>
      <c r="G68" s="273">
        <f>IF(ISBLANK(F68),"-",(F68/$D$50*$D$47*$B$68)*($B$57/$D$68))</f>
        <v>306.8797351342335</v>
      </c>
      <c r="H68" s="185">
        <f>IF(ISBLANK(F68),"-",G68/$B$56)</f>
        <v>1.0229324504474451</v>
      </c>
    </row>
    <row r="69" spans="1:8" ht="27" customHeight="1" x14ac:dyDescent="0.4">
      <c r="A69" s="171" t="s">
        <v>100</v>
      </c>
      <c r="B69" s="193">
        <f>(D47*B68)/B56*B57</f>
        <v>474.83125000000013</v>
      </c>
      <c r="C69" s="328"/>
      <c r="D69" s="331"/>
      <c r="E69" s="184">
        <v>2</v>
      </c>
      <c r="F69" s="136">
        <v>43695989</v>
      </c>
      <c r="G69" s="274">
        <f>IF(ISBLANK(F69),"-",(F69/$D$50*$D$47*$B$68)*($B$57/$D$68))</f>
        <v>304.34981965629703</v>
      </c>
      <c r="H69" s="185">
        <f t="shared" si="0"/>
        <v>1.0144993988543234</v>
      </c>
    </row>
    <row r="70" spans="1:8" ht="26.25" customHeight="1" x14ac:dyDescent="0.4">
      <c r="A70" s="333" t="s">
        <v>73</v>
      </c>
      <c r="B70" s="334"/>
      <c r="C70" s="328"/>
      <c r="D70" s="331"/>
      <c r="E70" s="184">
        <v>3</v>
      </c>
      <c r="F70" s="136">
        <v>44087873</v>
      </c>
      <c r="G70" s="274">
        <f>IF(ISBLANK(F70),"-",(F70/$D$50*$D$47*$B$68)*($B$57/$D$68))</f>
        <v>307.07935679358872</v>
      </c>
      <c r="H70" s="185">
        <f t="shared" si="0"/>
        <v>1.023597855978629</v>
      </c>
    </row>
    <row r="71" spans="1:8" ht="27" customHeight="1" x14ac:dyDescent="0.4">
      <c r="A71" s="335"/>
      <c r="B71" s="336"/>
      <c r="C71" s="329"/>
      <c r="D71" s="332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1.0377576126098904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1.9143807344895344E-2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8</v>
      </c>
    </row>
    <row r="76" spans="1:8" ht="26.25" customHeight="1" x14ac:dyDescent="0.4">
      <c r="A76" s="107" t="s">
        <v>101</v>
      </c>
      <c r="B76" s="203" t="s">
        <v>102</v>
      </c>
      <c r="C76" s="314" t="str">
        <f>B20</f>
        <v>Amodiaquine</v>
      </c>
      <c r="D76" s="314"/>
      <c r="E76" s="204" t="s">
        <v>103</v>
      </c>
      <c r="F76" s="204"/>
      <c r="G76" s="205">
        <f>H72</f>
        <v>1.0377576126098904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37" t="str">
        <f>B26</f>
        <v>Amodiaquine HCl</v>
      </c>
      <c r="C79" s="337"/>
    </row>
    <row r="80" spans="1:8" ht="26.25" customHeight="1" x14ac:dyDescent="0.4">
      <c r="A80" s="108" t="s">
        <v>43</v>
      </c>
      <c r="B80" s="337" t="str">
        <f>B27</f>
        <v>A7 1</v>
      </c>
      <c r="C80" s="337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16" t="s">
        <v>45</v>
      </c>
      <c r="D82" s="317"/>
      <c r="E82" s="317"/>
      <c r="F82" s="317"/>
      <c r="G82" s="318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19" t="s">
        <v>106</v>
      </c>
      <c r="D84" s="320"/>
      <c r="E84" s="320"/>
      <c r="F84" s="320"/>
      <c r="G84" s="320"/>
      <c r="H84" s="321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19" t="s">
        <v>107</v>
      </c>
      <c r="D85" s="320"/>
      <c r="E85" s="320"/>
      <c r="F85" s="320"/>
      <c r="G85" s="320"/>
      <c r="H85" s="321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22" t="s">
        <v>55</v>
      </c>
      <c r="G89" s="323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20449161</v>
      </c>
      <c r="E91" s="132">
        <f>IF(ISBLANK(D91),"-",$D$101/$D$98*D91)</f>
        <v>29598513.638466138</v>
      </c>
      <c r="F91" s="281">
        <v>21488692</v>
      </c>
      <c r="G91" s="133">
        <f>IF(ISBLANK(F91),"-",$D$101/$F$98*F91)</f>
        <v>29707102.016913831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20707386</v>
      </c>
      <c r="E92" s="137">
        <f>IF(ISBLANK(D92),"-",$D$101/$D$98*D92)</f>
        <v>29972273.529363029</v>
      </c>
      <c r="F92" s="282">
        <v>21808459</v>
      </c>
      <c r="G92" s="138">
        <f>IF(ISBLANK(F92),"-",$D$101/$F$98*F92)</f>
        <v>30149164.795357607</v>
      </c>
      <c r="I92" s="324">
        <f>ABS((F96/D96*D95)-F95)/D95</f>
        <v>6.9090756651530765E-3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20693200</v>
      </c>
      <c r="E93" s="137">
        <f>IF(ISBLANK(D93),"-",$D$101/$D$98*D93)</f>
        <v>29951740.43685741</v>
      </c>
      <c r="F93" s="282">
        <v>21886474</v>
      </c>
      <c r="G93" s="138">
        <f>IF(ISBLANK(F93),"-",$D$101/$F$98*F93)</f>
        <v>30257016.849072628</v>
      </c>
      <c r="I93" s="324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20616582.333333332</v>
      </c>
      <c r="E95" s="147">
        <f>AVERAGE(E91:E94)</f>
        <v>29840842.534895528</v>
      </c>
      <c r="F95" s="216">
        <f>AVERAGE(F91:F94)</f>
        <v>21727875</v>
      </c>
      <c r="G95" s="217">
        <f>AVERAGE(G91:G94)</f>
        <v>30037761.220448021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14.47</v>
      </c>
      <c r="E96" s="139"/>
      <c r="F96" s="151">
        <v>15.15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12.00653303481891</v>
      </c>
      <c r="E97" s="154"/>
      <c r="F97" s="153">
        <f>F96*$B$87</f>
        <v>12.570765409641083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11.994526501784092</v>
      </c>
      <c r="E98" s="157"/>
      <c r="F98" s="156">
        <f>F97*$B$83/100</f>
        <v>12.558194644231444</v>
      </c>
    </row>
    <row r="99" spans="1:10" ht="19.5" customHeight="1" x14ac:dyDescent="0.3">
      <c r="A99" s="310" t="s">
        <v>73</v>
      </c>
      <c r="B99" s="325"/>
      <c r="C99" s="220" t="s">
        <v>111</v>
      </c>
      <c r="D99" s="224">
        <f>D98/$B$98</f>
        <v>5.7573727208563637E-2</v>
      </c>
      <c r="E99" s="157"/>
      <c r="F99" s="160">
        <f>F98/$B$98</f>
        <v>6.0279334292310929E-2</v>
      </c>
      <c r="G99" s="225"/>
      <c r="H99" s="149"/>
    </row>
    <row r="100" spans="1:10" ht="19.5" customHeight="1" x14ac:dyDescent="0.3">
      <c r="A100" s="312"/>
      <c r="B100" s="326"/>
      <c r="C100" s="220" t="s">
        <v>75</v>
      </c>
      <c r="D100" s="226">
        <f>$B$56/$B$116</f>
        <v>8.3333333333333329E-2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17.361111111111111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20.923215473547128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29939301.877671778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8.400585045842306E-3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5</v>
      </c>
      <c r="C108" s="241">
        <v>1</v>
      </c>
      <c r="D108" s="242">
        <v>27609010</v>
      </c>
      <c r="E108" s="277">
        <f t="shared" ref="E108:E113" si="1">IF(ISBLANK(D108),"-",D108/$D$103*$D$100*$B$116)</f>
        <v>276.64983752266772</v>
      </c>
      <c r="F108" s="243">
        <f>IF(ISBLANK(D108), "-", E108/$B$56)</f>
        <v>0.92216612507555906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27589041</v>
      </c>
      <c r="E109" s="278">
        <f t="shared" si="1"/>
        <v>276.44974267661968</v>
      </c>
      <c r="F109" s="244">
        <f t="shared" ref="F109:F113" si="2">IF(ISBLANK(D109), "-", E109/$B$56)</f>
        <v>0.92149914225539897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27360843</v>
      </c>
      <c r="E110" s="278">
        <f t="shared" si="1"/>
        <v>274.16313625273858</v>
      </c>
      <c r="F110" s="244">
        <f>IF(ISBLANK(D110), "-", E110/$B$56)</f>
        <v>0.91387712084246198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27294861</v>
      </c>
      <c r="E111" s="278">
        <f t="shared" si="1"/>
        <v>273.50197855170472</v>
      </c>
      <c r="F111" s="244">
        <f t="shared" si="2"/>
        <v>0.91167326183901576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27201551</v>
      </c>
      <c r="E112" s="278">
        <f t="shared" si="1"/>
        <v>272.56698681026819</v>
      </c>
      <c r="F112" s="244">
        <f>IF(ISBLANK(D112), "-", E112/$B$56)</f>
        <v>0.90855662270089399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27295377</v>
      </c>
      <c r="E113" s="279">
        <f t="shared" si="1"/>
        <v>273.50714901294771</v>
      </c>
      <c r="F113" s="247">
        <f t="shared" si="2"/>
        <v>0.91169049670982572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0.9149104615705258</v>
      </c>
    </row>
    <row r="116" spans="1:10" ht="27" customHeight="1" x14ac:dyDescent="0.4">
      <c r="A116" s="123" t="s">
        <v>98</v>
      </c>
      <c r="B116" s="155">
        <f>(B115/B114)*(B113/B112)*(B111/B110)*(B109/B108)*B107</f>
        <v>3600</v>
      </c>
      <c r="C116" s="252"/>
      <c r="D116" s="253"/>
      <c r="E116" s="214" t="s">
        <v>79</v>
      </c>
      <c r="F116" s="254">
        <f>STDEV(F108:F113)/F115</f>
        <v>6.1508417585694006E-3</v>
      </c>
      <c r="I116" s="97"/>
    </row>
    <row r="117" spans="1:10" ht="27" customHeight="1" x14ac:dyDescent="0.4">
      <c r="A117" s="310" t="s">
        <v>73</v>
      </c>
      <c r="B117" s="311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12"/>
      <c r="B118" s="313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14" t="str">
        <f>B20</f>
        <v>Amodiaquine</v>
      </c>
      <c r="D120" s="314"/>
      <c r="E120" s="204" t="s">
        <v>119</v>
      </c>
      <c r="F120" s="204"/>
      <c r="G120" s="205">
        <f>F115</f>
        <v>0.9149104615705258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15" t="s">
        <v>21</v>
      </c>
      <c r="C122" s="315"/>
      <c r="E122" s="210" t="s">
        <v>22</v>
      </c>
      <c r="F122" s="261"/>
      <c r="G122" s="315" t="s">
        <v>23</v>
      </c>
      <c r="H122" s="315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00" zoomScale="60" zoomScaleNormal="40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08" t="s">
        <v>40</v>
      </c>
      <c r="B1" s="308"/>
      <c r="C1" s="308"/>
      <c r="D1" s="308"/>
      <c r="E1" s="308"/>
      <c r="F1" s="308"/>
      <c r="G1" s="308"/>
      <c r="H1" s="308"/>
      <c r="I1" s="308"/>
    </row>
    <row r="2" spans="1:9" ht="18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</row>
    <row r="3" spans="1:9" ht="18.75" customHeight="1" x14ac:dyDescent="0.25">
      <c r="A3" s="308"/>
      <c r="B3" s="308"/>
      <c r="C3" s="308"/>
      <c r="D3" s="308"/>
      <c r="E3" s="308"/>
      <c r="F3" s="308"/>
      <c r="G3" s="308"/>
      <c r="H3" s="308"/>
      <c r="I3" s="308"/>
    </row>
    <row r="4" spans="1:9" ht="18.75" customHeight="1" x14ac:dyDescent="0.25">
      <c r="A4" s="308"/>
      <c r="B4" s="308"/>
      <c r="C4" s="308"/>
      <c r="D4" s="308"/>
      <c r="E4" s="308"/>
      <c r="F4" s="308"/>
      <c r="G4" s="308"/>
      <c r="H4" s="308"/>
      <c r="I4" s="308"/>
    </row>
    <row r="5" spans="1:9" ht="18.75" customHeight="1" x14ac:dyDescent="0.25">
      <c r="A5" s="308"/>
      <c r="B5" s="308"/>
      <c r="C5" s="308"/>
      <c r="D5" s="308"/>
      <c r="E5" s="308"/>
      <c r="F5" s="308"/>
      <c r="G5" s="308"/>
      <c r="H5" s="308"/>
      <c r="I5" s="308"/>
    </row>
    <row r="6" spans="1:9" ht="18.75" customHeight="1" x14ac:dyDescent="0.25">
      <c r="A6" s="308"/>
      <c r="B6" s="308"/>
      <c r="C6" s="308"/>
      <c r="D6" s="308"/>
      <c r="E6" s="308"/>
      <c r="F6" s="308"/>
      <c r="G6" s="308"/>
      <c r="H6" s="308"/>
      <c r="I6" s="308"/>
    </row>
    <row r="7" spans="1:9" ht="18.75" customHeight="1" x14ac:dyDescent="0.25">
      <c r="A7" s="308"/>
      <c r="B7" s="308"/>
      <c r="C7" s="308"/>
      <c r="D7" s="308"/>
      <c r="E7" s="308"/>
      <c r="F7" s="308"/>
      <c r="G7" s="308"/>
      <c r="H7" s="308"/>
      <c r="I7" s="308"/>
    </row>
    <row r="8" spans="1:9" x14ac:dyDescent="0.25">
      <c r="A8" s="309" t="s">
        <v>41</v>
      </c>
      <c r="B8" s="309"/>
      <c r="C8" s="309"/>
      <c r="D8" s="309"/>
      <c r="E8" s="309"/>
      <c r="F8" s="309"/>
      <c r="G8" s="309"/>
      <c r="H8" s="309"/>
      <c r="I8" s="309"/>
    </row>
    <row r="9" spans="1:9" x14ac:dyDescent="0.25">
      <c r="A9" s="309"/>
      <c r="B9" s="309"/>
      <c r="C9" s="309"/>
      <c r="D9" s="309"/>
      <c r="E9" s="309"/>
      <c r="F9" s="309"/>
      <c r="G9" s="309"/>
      <c r="H9" s="309"/>
      <c r="I9" s="309"/>
    </row>
    <row r="10" spans="1:9" x14ac:dyDescent="0.25">
      <c r="A10" s="309"/>
      <c r="B10" s="309"/>
      <c r="C10" s="309"/>
      <c r="D10" s="309"/>
      <c r="E10" s="309"/>
      <c r="F10" s="309"/>
      <c r="G10" s="309"/>
      <c r="H10" s="309"/>
      <c r="I10" s="309"/>
    </row>
    <row r="11" spans="1:9" x14ac:dyDescent="0.25">
      <c r="A11" s="309"/>
      <c r="B11" s="309"/>
      <c r="C11" s="309"/>
      <c r="D11" s="309"/>
      <c r="E11" s="309"/>
      <c r="F11" s="309"/>
      <c r="G11" s="309"/>
      <c r="H11" s="309"/>
      <c r="I11" s="309"/>
    </row>
    <row r="12" spans="1:9" x14ac:dyDescent="0.25">
      <c r="A12" s="309"/>
      <c r="B12" s="309"/>
      <c r="C12" s="309"/>
      <c r="D12" s="309"/>
      <c r="E12" s="309"/>
      <c r="F12" s="309"/>
      <c r="G12" s="309"/>
      <c r="H12" s="309"/>
      <c r="I12" s="309"/>
    </row>
    <row r="13" spans="1:9" x14ac:dyDescent="0.25">
      <c r="A13" s="309"/>
      <c r="B13" s="309"/>
      <c r="C13" s="309"/>
      <c r="D13" s="309"/>
      <c r="E13" s="309"/>
      <c r="F13" s="309"/>
      <c r="G13" s="309"/>
      <c r="H13" s="309"/>
      <c r="I13" s="309"/>
    </row>
    <row r="14" spans="1:9" x14ac:dyDescent="0.25">
      <c r="A14" s="309"/>
      <c r="B14" s="309"/>
      <c r="C14" s="309"/>
      <c r="D14" s="309"/>
      <c r="E14" s="309"/>
      <c r="F14" s="309"/>
      <c r="G14" s="309"/>
      <c r="H14" s="309"/>
      <c r="I14" s="309"/>
    </row>
    <row r="15" spans="1:9" ht="19.5" customHeight="1" thickBot="1" x14ac:dyDescent="0.35">
      <c r="A15" s="204"/>
    </row>
    <row r="16" spans="1:9" ht="19.5" customHeight="1" thickBot="1" x14ac:dyDescent="0.35">
      <c r="A16" s="341" t="s">
        <v>26</v>
      </c>
      <c r="B16" s="342"/>
      <c r="C16" s="342"/>
      <c r="D16" s="342"/>
      <c r="E16" s="342"/>
      <c r="F16" s="342"/>
      <c r="G16" s="342"/>
      <c r="H16" s="343"/>
    </row>
    <row r="17" spans="1:14" ht="20.25" customHeight="1" x14ac:dyDescent="0.25">
      <c r="A17" s="344" t="s">
        <v>42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4">
      <c r="A18" s="99" t="s">
        <v>28</v>
      </c>
      <c r="B18" s="340" t="s">
        <v>121</v>
      </c>
      <c r="C18" s="34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NDQD201508229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45" t="s">
        <v>124</v>
      </c>
      <c r="C20" s="34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45" t="str">
        <f>Uniformity!C17</f>
        <v>Each bilayered tablet contains Artesunate 100mg and Amodiaquine 300mg</v>
      </c>
      <c r="C21" s="345"/>
      <c r="D21" s="345"/>
      <c r="E21" s="345"/>
      <c r="F21" s="345"/>
      <c r="G21" s="345"/>
      <c r="H21" s="34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40" t="s">
        <v>124</v>
      </c>
      <c r="C26" s="340"/>
    </row>
    <row r="27" spans="1:14" ht="26.25" customHeight="1" x14ac:dyDescent="0.4">
      <c r="A27" s="214" t="s">
        <v>43</v>
      </c>
      <c r="B27" s="337" t="s">
        <v>127</v>
      </c>
      <c r="C27" s="337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16" t="s">
        <v>45</v>
      </c>
      <c r="D29" s="317"/>
      <c r="E29" s="317"/>
      <c r="F29" s="317"/>
      <c r="G29" s="318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19" t="s">
        <v>48</v>
      </c>
      <c r="D31" s="320"/>
      <c r="E31" s="320"/>
      <c r="F31" s="320"/>
      <c r="G31" s="320"/>
      <c r="H31" s="321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19" t="s">
        <v>50</v>
      </c>
      <c r="D32" s="320"/>
      <c r="E32" s="320"/>
      <c r="F32" s="320"/>
      <c r="G32" s="320"/>
      <c r="H32" s="321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22" t="s">
        <v>54</v>
      </c>
      <c r="E36" s="339"/>
      <c r="F36" s="322" t="s">
        <v>55</v>
      </c>
      <c r="G36" s="323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3826679</v>
      </c>
      <c r="E38" s="132">
        <f>IF(ISBLANK(D38),"-",$D$48/$D$45*D38)</f>
        <v>2957524.6216995562</v>
      </c>
      <c r="F38" s="131">
        <v>3891441</v>
      </c>
      <c r="G38" s="133">
        <f>IF(ISBLANK(F38),"-",$D$48/$F$45*F38)</f>
        <v>2948738.2330944152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3815976</v>
      </c>
      <c r="E39" s="137">
        <f>IF(ISBLANK(D39),"-",$D$48/$D$45*D39)</f>
        <v>2949252.5962628657</v>
      </c>
      <c r="F39" s="136">
        <v>3900601</v>
      </c>
      <c r="G39" s="138">
        <f>IF(ISBLANK(F39),"-",$D$48/$F$45*F39)</f>
        <v>2955679.2203058735</v>
      </c>
      <c r="I39" s="324">
        <f>ABS((F43/D43*D42)-F42)/D42</f>
        <v>3.0764199952663589E-3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3841903</v>
      </c>
      <c r="E40" s="137">
        <f>IF(ISBLANK(D40),"-",$D$48/$D$45*D40)</f>
        <v>2969290.7914882307</v>
      </c>
      <c r="F40" s="136">
        <v>3886347</v>
      </c>
      <c r="G40" s="138">
        <f>IF(ISBLANK(F40),"-",$D$48/$F$45*F40)</f>
        <v>2944878.2561451611</v>
      </c>
      <c r="I40" s="324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3828186</v>
      </c>
      <c r="E42" s="147">
        <f>AVERAGE(E38:E41)</f>
        <v>2958689.3364835507</v>
      </c>
      <c r="F42" s="146">
        <f>AVERAGE(F38:F41)</f>
        <v>3892796.3333333335</v>
      </c>
      <c r="G42" s="148">
        <f>AVERAGE(G38:G41)</f>
        <v>2949765.2365151499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26.06</v>
      </c>
      <c r="E43" s="204"/>
      <c r="F43" s="151">
        <v>26.58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26.06</v>
      </c>
      <c r="E44" s="222"/>
      <c r="F44" s="153">
        <f>F43*$B$34</f>
        <v>26.58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25.877579999999998</v>
      </c>
      <c r="E45" s="200"/>
      <c r="F45" s="156">
        <f>F44*$B$30/100</f>
        <v>26.393939999999997</v>
      </c>
      <c r="H45" s="149"/>
    </row>
    <row r="46" spans="1:14" ht="19.5" customHeight="1" thickBot="1" x14ac:dyDescent="0.35">
      <c r="A46" s="310" t="s">
        <v>73</v>
      </c>
      <c r="B46" s="311"/>
      <c r="C46" s="152" t="s">
        <v>74</v>
      </c>
      <c r="D46" s="158">
        <f>D45/$B$45</f>
        <v>5.175516</v>
      </c>
      <c r="E46" s="159"/>
      <c r="F46" s="160">
        <f>F45/$B$45</f>
        <v>5.2787879999999996</v>
      </c>
      <c r="H46" s="149"/>
    </row>
    <row r="47" spans="1:14" ht="27" customHeight="1" thickBot="1" x14ac:dyDescent="0.45">
      <c r="A47" s="312"/>
      <c r="B47" s="313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2954227.2864993499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2.9593759901607552E-3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100mg and Amodiaquine 300mg</v>
      </c>
    </row>
    <row r="56" spans="1:12" ht="26.25" customHeight="1" x14ac:dyDescent="0.4">
      <c r="A56" s="176" t="s">
        <v>82</v>
      </c>
      <c r="B56" s="177">
        <v>100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569.79750000000013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25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27" t="s">
        <v>89</v>
      </c>
      <c r="D60" s="330">
        <v>581.20000000000005</v>
      </c>
      <c r="E60" s="181">
        <v>1</v>
      </c>
      <c r="F60" s="182">
        <v>3199947</v>
      </c>
      <c r="G60" s="271">
        <f>IF(ISBLANK(F60),"-",(F60/$D$50*$D$47*$B$68)*($B$57/$D$60))</f>
        <v>106.19249236188863</v>
      </c>
      <c r="H60" s="183">
        <f>IF(ISBLANK(F60),"-",G60/$B$56)</f>
        <v>1.0619249236188864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28"/>
      <c r="D61" s="331"/>
      <c r="E61" s="184">
        <v>2</v>
      </c>
      <c r="F61" s="136">
        <v>3218683</v>
      </c>
      <c r="G61" s="272">
        <f>IF(ISBLANK(F61),"-",(F61/$D$50*$D$47*$B$68)*($B$57/$D$60))</f>
        <v>106.81425970268907</v>
      </c>
      <c r="H61" s="185">
        <f t="shared" ref="H61:H71" si="0">IF(ISBLANK(F61),"-",G61/$B$56)</f>
        <v>1.0681425970268907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28"/>
      <c r="D62" s="331"/>
      <c r="E62" s="184">
        <v>3</v>
      </c>
      <c r="F62" s="186">
        <v>3242558</v>
      </c>
      <c r="G62" s="272">
        <f>IF(ISBLANK(F62),"-",(F62/$D$50*$D$47*$B$68)*($B$57/$D$60))</f>
        <v>107.60656837378269</v>
      </c>
      <c r="H62" s="185">
        <f t="shared" si="0"/>
        <v>1.0760656837378269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38"/>
      <c r="D63" s="332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7" t="s">
        <v>94</v>
      </c>
      <c r="D64" s="330">
        <v>573.65</v>
      </c>
      <c r="E64" s="181">
        <v>1</v>
      </c>
      <c r="F64" s="182">
        <v>3105442</v>
      </c>
      <c r="G64" s="273">
        <f>IF(ISBLANK(F64),"-",(F64/$D$50*$D$47*$B$68)*($B$57/$D$64))</f>
        <v>104.41263567574612</v>
      </c>
      <c r="H64" s="189">
        <f>IF(ISBLANK(F64),"-",G64/$B$56)</f>
        <v>1.0441263567574612</v>
      </c>
    </row>
    <row r="65" spans="1:8" ht="26.25" customHeight="1" x14ac:dyDescent="0.4">
      <c r="A65" s="123" t="s">
        <v>95</v>
      </c>
      <c r="B65" s="124">
        <v>1</v>
      </c>
      <c r="C65" s="328"/>
      <c r="D65" s="331"/>
      <c r="E65" s="184">
        <v>2</v>
      </c>
      <c r="F65" s="136">
        <v>3160220</v>
      </c>
      <c r="G65" s="274">
        <f>IF(ISBLANK(F65),"-",(F65/$D$50*$D$47*$B$68)*($B$57/$D$64))</f>
        <v>106.25440742902505</v>
      </c>
      <c r="H65" s="190">
        <f t="shared" si="0"/>
        <v>1.0625440742902506</v>
      </c>
    </row>
    <row r="66" spans="1:8" ht="26.25" customHeight="1" x14ac:dyDescent="0.4">
      <c r="A66" s="123" t="s">
        <v>96</v>
      </c>
      <c r="B66" s="124">
        <v>1</v>
      </c>
      <c r="C66" s="328"/>
      <c r="D66" s="331"/>
      <c r="E66" s="184">
        <v>3</v>
      </c>
      <c r="F66" s="136">
        <v>3170418</v>
      </c>
      <c r="G66" s="274">
        <f>IF(ISBLANK(F66),"-",(F66/$D$50*$D$47*$B$68)*($B$57/$D$64))</f>
        <v>106.59728939514169</v>
      </c>
      <c r="H66" s="190">
        <f t="shared" si="0"/>
        <v>1.0659728939514168</v>
      </c>
    </row>
    <row r="67" spans="1:8" ht="27" customHeight="1" thickBot="1" x14ac:dyDescent="0.45">
      <c r="A67" s="123" t="s">
        <v>97</v>
      </c>
      <c r="B67" s="124">
        <v>1</v>
      </c>
      <c r="C67" s="338"/>
      <c r="D67" s="332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25</v>
      </c>
      <c r="C68" s="327" t="s">
        <v>99</v>
      </c>
      <c r="D68" s="330">
        <v>560.82000000000005</v>
      </c>
      <c r="E68" s="181">
        <v>1</v>
      </c>
      <c r="F68" s="182">
        <v>3096933</v>
      </c>
      <c r="G68" s="273">
        <f>IF(ISBLANK(F68),"-",(F68/$D$50*$D$47*$B$68)*($B$57/$D$68))</f>
        <v>106.50866740696966</v>
      </c>
      <c r="H68" s="185">
        <f>IF(ISBLANK(F68),"-",G68/$B$56)</f>
        <v>1.0650866740696967</v>
      </c>
    </row>
    <row r="69" spans="1:8" ht="27" customHeight="1" thickBot="1" x14ac:dyDescent="0.45">
      <c r="A69" s="171" t="s">
        <v>100</v>
      </c>
      <c r="B69" s="193">
        <f>(D47*B68)/B56*B57</f>
        <v>569.79750000000013</v>
      </c>
      <c r="C69" s="328"/>
      <c r="D69" s="331"/>
      <c r="E69" s="184">
        <v>2</v>
      </c>
      <c r="F69" s="136">
        <v>3116179</v>
      </c>
      <c r="G69" s="274">
        <f>IF(ISBLANK(F69),"-",(F69/$D$50*$D$47*$B$68)*($B$57/$D$68))</f>
        <v>107.17056929923359</v>
      </c>
      <c r="H69" s="185">
        <f t="shared" si="0"/>
        <v>1.0717056929923359</v>
      </c>
    </row>
    <row r="70" spans="1:8" ht="26.25" customHeight="1" x14ac:dyDescent="0.4">
      <c r="A70" s="333" t="s">
        <v>73</v>
      </c>
      <c r="B70" s="334"/>
      <c r="C70" s="328"/>
      <c r="D70" s="331"/>
      <c r="E70" s="184">
        <v>3</v>
      </c>
      <c r="F70" s="136">
        <v>3114163</v>
      </c>
      <c r="G70" s="274">
        <f>IF(ISBLANK(F70),"-",(F70/$D$50*$D$47*$B$68)*($B$57/$D$68))</f>
        <v>107.10123571226465</v>
      </c>
      <c r="H70" s="185">
        <f t="shared" si="0"/>
        <v>1.0710123571226466</v>
      </c>
    </row>
    <row r="71" spans="1:8" ht="27" customHeight="1" thickBot="1" x14ac:dyDescent="0.45">
      <c r="A71" s="335"/>
      <c r="B71" s="336"/>
      <c r="C71" s="329"/>
      <c r="D71" s="332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AVERAGE(H60:H71)</f>
        <v>1.0651756948408233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STDEV(H60:H71)/H72</f>
        <v>8.5614382493300906E-3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COUNT(H60:H71)</f>
        <v>9</v>
      </c>
    </row>
    <row r="76" spans="1:8" ht="26.25" customHeight="1" x14ac:dyDescent="0.4">
      <c r="A76" s="262" t="s">
        <v>101</v>
      </c>
      <c r="B76" s="214" t="s">
        <v>102</v>
      </c>
      <c r="C76" s="314" t="str">
        <f>B20</f>
        <v>Artesunate</v>
      </c>
      <c r="D76" s="314"/>
      <c r="E76" s="204" t="s">
        <v>103</v>
      </c>
      <c r="F76" s="204"/>
      <c r="G76" s="205">
        <f>H72</f>
        <v>1.0651756948408233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37" t="str">
        <f>B26</f>
        <v>Artesunate</v>
      </c>
      <c r="C79" s="337"/>
    </row>
    <row r="80" spans="1:8" ht="26.25" customHeight="1" x14ac:dyDescent="0.4">
      <c r="A80" s="214" t="s">
        <v>43</v>
      </c>
      <c r="B80" s="337" t="str">
        <f>B27</f>
        <v>A15 2</v>
      </c>
      <c r="C80" s="337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16" t="s">
        <v>45</v>
      </c>
      <c r="D82" s="317"/>
      <c r="E82" s="317"/>
      <c r="F82" s="317"/>
      <c r="G82" s="318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19" t="s">
        <v>106</v>
      </c>
      <c r="D84" s="320"/>
      <c r="E84" s="320"/>
      <c r="F84" s="320"/>
      <c r="G84" s="320"/>
      <c r="H84" s="321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19" t="s">
        <v>107</v>
      </c>
      <c r="D85" s="320"/>
      <c r="E85" s="320"/>
      <c r="F85" s="320"/>
      <c r="G85" s="320"/>
      <c r="H85" s="321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22" t="s">
        <v>55</v>
      </c>
      <c r="G89" s="323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1136937</v>
      </c>
      <c r="E91" s="132">
        <f>IF(ISBLANK(D91),"-",$D$101/$D$98*D91)</f>
        <v>1098380.3354100345</v>
      </c>
      <c r="F91" s="281">
        <v>1158830</v>
      </c>
      <c r="G91" s="133">
        <f>IF(ISBLANK(F91),"-",$D$101/$F$98*F91)</f>
        <v>1097628.8496526098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1154747</v>
      </c>
      <c r="E92" s="137">
        <f>IF(ISBLANK(D92),"-",$D$101/$D$98*D92)</f>
        <v>1115586.3492644986</v>
      </c>
      <c r="F92" s="282">
        <v>1185578</v>
      </c>
      <c r="G92" s="138">
        <f>IF(ISBLANK(F92),"-",$D$101/$F$98*F92)</f>
        <v>1122964.2107241284</v>
      </c>
      <c r="I92" s="324">
        <f>ABS((F96/D96*D95)-F95)/D95</f>
        <v>1.7633430401350263E-3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1153128</v>
      </c>
      <c r="E93" s="137">
        <f>IF(ISBLANK(D93),"-",$D$101/$D$98*D93)</f>
        <v>1114022.2540129332</v>
      </c>
      <c r="F93" s="282">
        <v>1175216</v>
      </c>
      <c r="G93" s="138">
        <f>IF(ISBLANK(F93),"-",$D$101/$F$98*F93)</f>
        <v>1113149.4577922055</v>
      </c>
      <c r="I93" s="324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 t="s">
        <v>129</v>
      </c>
      <c r="G94" s="143"/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1148270.6666666667</v>
      </c>
      <c r="E95" s="147">
        <f>AVERAGE(E91:E94)</f>
        <v>1109329.6462291554</v>
      </c>
      <c r="F95" s="216">
        <f>AVERAGE(F91:F94)</f>
        <v>1173208</v>
      </c>
      <c r="G95" s="217">
        <f>AVERAGE(G91:G94)</f>
        <v>1111247.5060563146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26.06</v>
      </c>
      <c r="E96" s="204"/>
      <c r="F96" s="151">
        <v>26.58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26.06</v>
      </c>
      <c r="E97" s="222"/>
      <c r="F97" s="153">
        <f>F96*$B$87</f>
        <v>26.58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25.877579999999998</v>
      </c>
      <c r="E98" s="200"/>
      <c r="F98" s="156">
        <f>F97*$B$83/100</f>
        <v>26.393939999999997</v>
      </c>
    </row>
    <row r="99" spans="1:10" ht="19.5" customHeight="1" thickBot="1" x14ac:dyDescent="0.35">
      <c r="A99" s="310" t="s">
        <v>73</v>
      </c>
      <c r="B99" s="325"/>
      <c r="C99" s="220" t="s">
        <v>111</v>
      </c>
      <c r="D99" s="224">
        <f>D98/$B$98</f>
        <v>5.1755159999999995E-2</v>
      </c>
      <c r="E99" s="200"/>
      <c r="F99" s="160">
        <f>F98/$B$98</f>
        <v>5.2787879999999995E-2</v>
      </c>
      <c r="H99" s="149"/>
    </row>
    <row r="100" spans="1:10" ht="19.5" customHeight="1" thickBot="1" x14ac:dyDescent="0.35">
      <c r="A100" s="312"/>
      <c r="B100" s="326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1110288.5761427351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9.1224513181999041E-3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5</v>
      </c>
      <c r="C108" s="241">
        <v>1</v>
      </c>
      <c r="D108" s="242">
        <v>971623</v>
      </c>
      <c r="E108" s="277">
        <f t="shared" ref="E108:E113" si="1">IF(ISBLANK(D108),"-",D108/$D$103*$D$100*$B$116)</f>
        <v>87.510852662784799</v>
      </c>
      <c r="F108" s="243">
        <f>IF(ISBLANK(D108), "-", E108/$B$56)</f>
        <v>0.87510852662784799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984927</v>
      </c>
      <c r="E109" s="278">
        <f t="shared" si="1"/>
        <v>88.709099702866894</v>
      </c>
      <c r="F109" s="244">
        <f t="shared" ref="F109:F113" si="2">IF(ISBLANK(D109), "-", E109/$B$56)</f>
        <v>0.88709099702866889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985709</v>
      </c>
      <c r="E110" s="278">
        <f t="shared" si="1"/>
        <v>88.779531842474839</v>
      </c>
      <c r="F110" s="244">
        <f>IF(ISBLANK(D110), "-", E110/$B$56)</f>
        <v>0.88779531842474835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971881</v>
      </c>
      <c r="E111" s="278">
        <f t="shared" si="1"/>
        <v>87.534089864854948</v>
      </c>
      <c r="F111" s="244">
        <f t="shared" si="2"/>
        <v>0.87534089864854947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976024</v>
      </c>
      <c r="E112" s="278">
        <f t="shared" si="1"/>
        <v>87.907236098097584</v>
      </c>
      <c r="F112" s="244">
        <f>IF(ISBLANK(D112), "-", E112/$B$56)</f>
        <v>0.87907236098097585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991571</v>
      </c>
      <c r="E113" s="279">
        <f t="shared" si="1"/>
        <v>89.307502689510414</v>
      </c>
      <c r="F113" s="247">
        <f t="shared" si="2"/>
        <v>0.8930750268951041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0.88291385476764905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2000</v>
      </c>
      <c r="C116" s="252"/>
      <c r="D116" s="253"/>
      <c r="E116" s="214" t="s">
        <v>79</v>
      </c>
      <c r="F116" s="254">
        <f>STDEV(F108:F113)/F115</f>
        <v>8.438638352909672E-3</v>
      </c>
      <c r="I116" s="204"/>
    </row>
    <row r="117" spans="1:10" ht="27" customHeight="1" thickBot="1" x14ac:dyDescent="0.45">
      <c r="A117" s="310" t="s">
        <v>73</v>
      </c>
      <c r="B117" s="311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12"/>
      <c r="B118" s="313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14" t="str">
        <f>B20</f>
        <v>Artesunate</v>
      </c>
      <c r="D120" s="314"/>
      <c r="E120" s="204" t="s">
        <v>119</v>
      </c>
      <c r="F120" s="204"/>
      <c r="G120" s="205">
        <f>F115</f>
        <v>0.88291385476764905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15" t="s">
        <v>21</v>
      </c>
      <c r="C122" s="315"/>
      <c r="E122" s="287" t="s">
        <v>22</v>
      </c>
      <c r="F122" s="261"/>
      <c r="G122" s="315" t="s">
        <v>23</v>
      </c>
      <c r="H122" s="315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MichaelBugigiSangale</cp:lastModifiedBy>
  <cp:lastPrinted>2015-10-21T09:39:21Z</cp:lastPrinted>
  <dcterms:created xsi:type="dcterms:W3CDTF">2005-07-05T10:19:27Z</dcterms:created>
  <dcterms:modified xsi:type="dcterms:W3CDTF">2015-12-04T05:12:22Z</dcterms:modified>
</cp:coreProperties>
</file>