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5"/>
  </bookViews>
  <sheets>
    <sheet name="SST (AH)" sheetId="4" r:id="rId1"/>
    <sheet name="SST (A)" sheetId="1" r:id="rId2"/>
    <sheet name="Uniformity (2)" sheetId="6" r:id="rId3"/>
    <sheet name="Uniformity" sheetId="2" r:id="rId4"/>
    <sheet name="Amodiaquine HCl" sheetId="3" r:id="rId5"/>
    <sheet name="Artesunate" sheetId="5" r:id="rId6"/>
  </sheets>
  <definedNames>
    <definedName name="_xlnm.Print_Area" localSheetId="4">'Amodiaquine HCl'!$A$1:$I$125</definedName>
    <definedName name="_xlnm.Print_Area" localSheetId="5">Artesunate!$A$1:$I$125</definedName>
    <definedName name="_xlnm.Print_Area" localSheetId="0">'SST (AH)'!$A$1:$G$61</definedName>
    <definedName name="_xlnm.Print_Area" localSheetId="3">Uniformity!$A$1:$F$54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B42" i="4" l="1"/>
  <c r="B21" i="4"/>
  <c r="B20" i="4"/>
  <c r="B42" i="1"/>
  <c r="B21" i="1"/>
  <c r="B20" i="1"/>
  <c r="C46" i="6" l="1"/>
  <c r="D50" i="6" s="1"/>
  <c r="C45" i="6"/>
  <c r="D33" i="6" l="1"/>
  <c r="D37" i="6"/>
  <c r="D25" i="6"/>
  <c r="D41" i="6"/>
  <c r="D29" i="6"/>
  <c r="D27" i="6"/>
  <c r="D31" i="6"/>
  <c r="D35" i="6"/>
  <c r="D39" i="6"/>
  <c r="D43" i="6"/>
  <c r="C49" i="6"/>
  <c r="D24" i="6"/>
  <c r="D28" i="6"/>
  <c r="D32" i="6"/>
  <c r="D36" i="6"/>
  <c r="D40" i="6"/>
  <c r="D49" i="6"/>
  <c r="C50" i="6"/>
  <c r="D26" i="6"/>
  <c r="D30" i="6"/>
  <c r="D34" i="6"/>
  <c r="D38" i="6"/>
  <c r="D42" i="6"/>
  <c r="B49" i="6"/>
  <c r="B85" i="3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<sst xmlns="http://schemas.openxmlformats.org/spreadsheetml/2006/main" count="461" uniqueCount="133">
  <si>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</si>
  <si>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</si>
  <si>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</si>
  <si>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</si>
  <si>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</si>
  <si>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</si>
  <si>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</si>
  <si>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</si>
  <si>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</si>
  <si>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</si>
  <si>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</si>
  <si>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</si>
  <si>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</si>
  <si>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</si>
  <si>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</si>
  <si>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</si>
  <si>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</si>
  <si>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</si>
  <si>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</si>
  <si>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</si>
  <si>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</si>
  <si>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</si>
  <si>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</si>
  <si>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</si>
  <si>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</si>
  <si>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</si>
  <si>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</si>
  <si>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</si>
  <si>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</si>
  <si>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</si>
  <si>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</si>
  <si>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</si>
  <si>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</si>
  <si>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</si>
  <si>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</si>
  <si>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</si>
  <si>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</si>
  <si>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</si>
  <si>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</si>
  <si>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</si>
  <si>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</si>
  <si>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</si>
  <si>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</si>
  <si>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</si>
  <si>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</si>
  <si>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</si>
  <si>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</si>
  <si>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</si>
  <si>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</si>
  <si>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</si>
  <si>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</si>
  <si>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</si>
  <si>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</si>
  <si>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</si>
  <si>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</si>
  <si>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</si>
  <si>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</si>
  <si>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</si>
  <si>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</si>
  <si>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</si>
  <si>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</si>
  <si>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</si>
  <si>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</si>
  <si>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</si>
  <si>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</si>
  <si>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</si>
  <si>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</si>
  <si>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</si>
  <si>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</si>
  <si>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</si>
  <si>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</si>
  <si>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</si>
  <si>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</si>
  <si>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</si>
  <si>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</si>
  <si>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</si>
  <si>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</si>
  <si>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</si>
  <si>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</si>
  <si>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</si>
  <si>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</si>
  <si>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</si>
  <si>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</si>
  <si>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</si>
  <si>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</si>
  <si>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</si>
  <si>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</si>
  <si>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</si>
  <si>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</si>
  <si>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</si>
  <si>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</si>
  <si>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</si>
  <si>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</si>
  <si>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</si>
  <si>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</si>
  <si>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</si>
  <si>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</si>
  <si>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</si>
  <si>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</si>
  <si>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</si>
  <si>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</si>
  <si>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</si>
  <si>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</si>
  <si>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</si>
  <si>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</si>
  <si>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</si>
  <si>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</si>
  <si>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</si>
  <si>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</si>
  <si>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</si>
  <si>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</si>
  <si>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</si>
  <si>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</si>
  <si>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</si>
  <si>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</si>
  <si>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</si>
  <si>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</si>
  <si>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</si>
  <si>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</si>
  <si>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</si>
  <si>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</si>
  <si>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</si>
  <si>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</si>
  <si>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</si>
  <si>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</si>
  <si>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</si>
  <si>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</si>
  <si>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</si>
  <si>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</si>
  <si>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</si>
  <si>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 xml:space="preserve">Each white tablet contains Artesunate 50 mg </t>
  </si>
  <si>
    <t xml:space="preserve">Each yellow tablet contains Artesunate 150 mg </t>
  </si>
  <si>
    <t>NDQD201508230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</si>
</sst>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5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80" zoomScaleNormal="100" zoomScaleSheetLayoutView="80" workbookViewId="0">
      <selection activeCell="D32" sqref="D32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9" t="s">
        <v>0</v>
      </c>
      <c r="B15" s="299"/>
      <c r="C15" s="299"/>
      <c r="D15" s="299"/>
      <c r="E15" s="299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f>'Amodiaquine HCl'!D43</f>
        <v>11.8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B20/'Amodiaquine HCl'!B45</f>
        <v>0.18880000000000002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28822227</v>
      </c>
      <c r="C24" s="18">
        <v>2537.5</v>
      </c>
      <c r="D24" s="19">
        <v>2</v>
      </c>
      <c r="E24" s="20">
        <v>2</v>
      </c>
    </row>
    <row r="25" spans="1:5" ht="16.5" customHeight="1" x14ac:dyDescent="0.3">
      <c r="A25" s="17">
        <v>2</v>
      </c>
      <c r="B25" s="18">
        <v>28986515</v>
      </c>
      <c r="C25" s="18">
        <v>2549.6999999999998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28910724</v>
      </c>
      <c r="C26" s="18">
        <v>2573.6999999999998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28919077</v>
      </c>
      <c r="C27" s="18">
        <v>2590.1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28943023</v>
      </c>
      <c r="C28" s="18">
        <v>2576.1999999999998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28875805</v>
      </c>
      <c r="C29" s="21">
        <v>2574.1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28909561.833333332</v>
      </c>
      <c r="C30" s="25">
        <f>AVERAGE(C24:C29)</f>
        <v>2566.8833333333337</v>
      </c>
      <c r="D30" s="26">
        <f>AVERAGE(D24:D29)</f>
        <v>1.9166666666666667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1.9506310361270915E-3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11.8</v>
      </c>
      <c r="C41" s="71"/>
      <c r="D41" s="71"/>
      <c r="E41" s="71"/>
    </row>
    <row r="42" spans="1:5" ht="16.5" customHeight="1" x14ac:dyDescent="0.3">
      <c r="A42" s="8" t="s">
        <v>7</v>
      </c>
      <c r="B42" s="13">
        <f>B41/'Amodiaquine HCl'!B98</f>
        <v>5.6640000000000003E-2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28822227</v>
      </c>
      <c r="C45" s="18">
        <v>2537.5</v>
      </c>
      <c r="D45" s="19">
        <v>2</v>
      </c>
      <c r="E45" s="20">
        <v>2</v>
      </c>
    </row>
    <row r="46" spans="1:5" ht="16.5" customHeight="1" x14ac:dyDescent="0.3">
      <c r="A46" s="17">
        <v>2</v>
      </c>
      <c r="B46" s="18">
        <v>28986515</v>
      </c>
      <c r="C46" s="18">
        <v>2549.6999999999998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28910724</v>
      </c>
      <c r="C47" s="18">
        <v>2573.6999999999998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28919077</v>
      </c>
      <c r="C48" s="18">
        <v>2590.1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28943023</v>
      </c>
      <c r="C49" s="18">
        <v>2576.1999999999998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28875805</v>
      </c>
      <c r="C50" s="21">
        <v>2574.1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28909561.833333332</v>
      </c>
      <c r="C51" s="25">
        <f>AVERAGE(C45:C50)</f>
        <v>2566.8833333333337</v>
      </c>
      <c r="D51" s="26">
        <f>AVERAGE(D45:D50)</f>
        <v>1.9166666666666667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1.9506310361270915E-3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00" t="s">
        <v>21</v>
      </c>
      <c r="C59" s="300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6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90" zoomScaleNormal="100" zoomScaleSheetLayoutView="90" workbookViewId="0">
      <selection activeCell="C38" sqref="C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9" t="s">
        <v>0</v>
      </c>
      <c r="B15" s="299"/>
      <c r="C15" s="299"/>
      <c r="D15" s="299"/>
      <c r="E15" s="29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f>Artesunate!D43</f>
        <v>21.88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B20/Artesunate!B45</f>
        <v>4.3759999999999994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3175409</v>
      </c>
      <c r="C24" s="18">
        <v>8053.2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3172253</v>
      </c>
      <c r="C25" s="18">
        <v>8024.7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3177874</v>
      </c>
      <c r="C26" s="18">
        <v>8058.9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3179284</v>
      </c>
      <c r="C27" s="18">
        <v>8077.6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3178130</v>
      </c>
      <c r="C28" s="18">
        <v>8061.1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3183344</v>
      </c>
      <c r="C29" s="21">
        <v>8100.5</v>
      </c>
      <c r="D29" s="22">
        <v>1</v>
      </c>
      <c r="E29" s="22">
        <v>8.5</v>
      </c>
    </row>
    <row r="30" spans="1:6" ht="16.5" customHeight="1" x14ac:dyDescent="0.3">
      <c r="A30" s="23" t="s">
        <v>13</v>
      </c>
      <c r="B30" s="24">
        <f>AVERAGE(B24:B29)</f>
        <v>3177715.6666666665</v>
      </c>
      <c r="C30" s="25">
        <f>AVERAGE(C24:C29)</f>
        <v>8062.666666666667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1.1732209814323275E-3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21.88</v>
      </c>
      <c r="C41" s="10"/>
      <c r="D41" s="10"/>
      <c r="E41" s="10"/>
    </row>
    <row r="42" spans="1:6" ht="16.5" customHeight="1" x14ac:dyDescent="0.3">
      <c r="A42" s="7" t="s">
        <v>7</v>
      </c>
      <c r="B42" s="13">
        <f>B41/Artesunate!B98</f>
        <v>4.376E-2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3175409</v>
      </c>
      <c r="C45" s="18">
        <v>8053.2</v>
      </c>
      <c r="D45" s="19">
        <v>1</v>
      </c>
      <c r="E45" s="20">
        <v>8.5</v>
      </c>
    </row>
    <row r="46" spans="1:6" ht="16.5" customHeight="1" x14ac:dyDescent="0.3">
      <c r="A46" s="17">
        <v>2</v>
      </c>
      <c r="B46" s="18">
        <v>3172253</v>
      </c>
      <c r="C46" s="18">
        <v>8024.7</v>
      </c>
      <c r="D46" s="19">
        <v>1</v>
      </c>
      <c r="E46" s="19">
        <v>8.5</v>
      </c>
    </row>
    <row r="47" spans="1:6" ht="16.5" customHeight="1" x14ac:dyDescent="0.3">
      <c r="A47" s="17">
        <v>3</v>
      </c>
      <c r="B47" s="18">
        <v>3177874</v>
      </c>
      <c r="C47" s="18">
        <v>8058.9</v>
      </c>
      <c r="D47" s="19">
        <v>1</v>
      </c>
      <c r="E47" s="19">
        <v>8.5</v>
      </c>
    </row>
    <row r="48" spans="1:6" ht="16.5" customHeight="1" x14ac:dyDescent="0.3">
      <c r="A48" s="17">
        <v>4</v>
      </c>
      <c r="B48" s="18">
        <v>3179284</v>
      </c>
      <c r="C48" s="18">
        <v>8077.6</v>
      </c>
      <c r="D48" s="19">
        <v>1</v>
      </c>
      <c r="E48" s="19">
        <v>8.5</v>
      </c>
    </row>
    <row r="49" spans="1:7" ht="16.5" customHeight="1" x14ac:dyDescent="0.3">
      <c r="A49" s="17">
        <v>5</v>
      </c>
      <c r="B49" s="18">
        <v>3178130</v>
      </c>
      <c r="C49" s="18">
        <v>8061.1</v>
      </c>
      <c r="D49" s="19">
        <v>1</v>
      </c>
      <c r="E49" s="19">
        <v>8.5</v>
      </c>
    </row>
    <row r="50" spans="1:7" ht="16.5" customHeight="1" x14ac:dyDescent="0.3">
      <c r="A50" s="17">
        <v>6</v>
      </c>
      <c r="B50" s="21">
        <v>3183344</v>
      </c>
      <c r="C50" s="21">
        <v>8100.5</v>
      </c>
      <c r="D50" s="22">
        <v>1</v>
      </c>
      <c r="E50" s="22">
        <v>8.5</v>
      </c>
    </row>
    <row r="51" spans="1:7" ht="16.5" customHeight="1" x14ac:dyDescent="0.3">
      <c r="A51" s="23" t="s">
        <v>13</v>
      </c>
      <c r="B51" s="24">
        <f>AVERAGE(B45:B50)</f>
        <v>3177715.6666666665</v>
      </c>
      <c r="C51" s="25">
        <f>AVERAGE(C45:C50)</f>
        <v>8062.666666666667</v>
      </c>
      <c r="D51" s="26">
        <f>AVERAGE(D45:D50)</f>
        <v>1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1.1732209814323275E-3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0" t="s">
        <v>21</v>
      </c>
      <c r="C59" s="300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6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16" sqref="C1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44"/>
  </cols>
  <sheetData>
    <row r="10" spans="1:7" ht="13.5" customHeight="1" thickBot="1" x14ac:dyDescent="0.35"/>
    <row r="11" spans="1:7" ht="13.5" customHeight="1" thickBot="1" x14ac:dyDescent="0.35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6" t="s">
        <v>27</v>
      </c>
      <c r="B12" s="306"/>
      <c r="C12" s="306"/>
      <c r="D12" s="306"/>
      <c r="E12" s="306"/>
      <c r="F12" s="306"/>
      <c r="G12" s="89"/>
    </row>
    <row r="14" spans="1:7" ht="16.5" customHeight="1" x14ac:dyDescent="0.3">
      <c r="A14" s="307" t="s">
        <v>28</v>
      </c>
      <c r="B14" s="307"/>
      <c r="C14" s="71" t="s">
        <v>122</v>
      </c>
    </row>
    <row r="15" spans="1:7" ht="16.5" customHeight="1" x14ac:dyDescent="0.3">
      <c r="A15" s="307" t="s">
        <v>29</v>
      </c>
      <c r="B15" s="307"/>
      <c r="C15" s="71" t="s">
        <v>132</v>
      </c>
    </row>
    <row r="16" spans="1:7" ht="16.5" customHeight="1" x14ac:dyDescent="0.3">
      <c r="A16" s="307" t="s">
        <v>30</v>
      </c>
      <c r="B16" s="307"/>
      <c r="C16" s="71" t="s">
        <v>123</v>
      </c>
    </row>
    <row r="17" spans="1:5" ht="16.5" customHeight="1" x14ac:dyDescent="0.3">
      <c r="A17" s="307" t="s">
        <v>31</v>
      </c>
      <c r="B17" s="307"/>
      <c r="C17" s="71" t="s">
        <v>131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294"/>
      <c r="B20" s="294"/>
      <c r="C20" s="76"/>
    </row>
    <row r="21" spans="1:5" ht="16.5" customHeight="1" x14ac:dyDescent="0.3">
      <c r="A21" s="306" t="s">
        <v>1</v>
      </c>
      <c r="B21" s="306"/>
      <c r="C21" s="59" t="s">
        <v>34</v>
      </c>
      <c r="D21" s="66"/>
    </row>
    <row r="22" spans="1:5" ht="15.75" customHeight="1" thickBot="1" x14ac:dyDescent="0.35">
      <c r="A22" s="308"/>
      <c r="B22" s="308"/>
      <c r="C22" s="57"/>
      <c r="D22" s="308"/>
      <c r="E22" s="308"/>
    </row>
    <row r="23" spans="1:5" ht="33.75" customHeight="1" thickBot="1" x14ac:dyDescent="0.35">
      <c r="C23" s="85" t="s">
        <v>35</v>
      </c>
      <c r="D23" s="84" t="s">
        <v>36</v>
      </c>
      <c r="E23" s="149"/>
    </row>
    <row r="24" spans="1:5" ht="15.75" customHeight="1" x14ac:dyDescent="0.3">
      <c r="C24" s="94">
        <v>950.66</v>
      </c>
      <c r="D24" s="86">
        <f t="shared" ref="D24:D43" si="0">(C24-$C$46)/$C$46</f>
        <v>-3.5428283929397324E-3</v>
      </c>
      <c r="E24" s="53"/>
    </row>
    <row r="25" spans="1:5" ht="15.75" customHeight="1" x14ac:dyDescent="0.3">
      <c r="C25" s="94">
        <v>944.77</v>
      </c>
      <c r="D25" s="87">
        <f t="shared" si="0"/>
        <v>-9.7165737285650582E-3</v>
      </c>
      <c r="E25" s="53"/>
    </row>
    <row r="26" spans="1:5" ht="15.75" customHeight="1" x14ac:dyDescent="0.3">
      <c r="C26" s="94">
        <v>943.11</v>
      </c>
      <c r="D26" s="87">
        <f t="shared" si="0"/>
        <v>-1.1456542702612234E-2</v>
      </c>
      <c r="E26" s="53"/>
    </row>
    <row r="27" spans="1:5" ht="15.75" customHeight="1" x14ac:dyDescent="0.3">
      <c r="C27" s="94">
        <v>957.75</v>
      </c>
      <c r="D27" s="87">
        <f t="shared" si="0"/>
        <v>3.8887258395872378E-3</v>
      </c>
      <c r="E27" s="53"/>
    </row>
    <row r="28" spans="1:5" ht="15.75" customHeight="1" x14ac:dyDescent="0.3">
      <c r="C28" s="94">
        <v>961.83</v>
      </c>
      <c r="D28" s="87">
        <f t="shared" si="0"/>
        <v>8.1652760890527105E-3</v>
      </c>
      <c r="E28" s="53"/>
    </row>
    <row r="29" spans="1:5" ht="15.75" customHeight="1" x14ac:dyDescent="0.3">
      <c r="C29" s="94">
        <v>952.42</v>
      </c>
      <c r="D29" s="87">
        <f t="shared" si="0"/>
        <v>-1.6980420108173994E-3</v>
      </c>
      <c r="E29" s="53"/>
    </row>
    <row r="30" spans="1:5" ht="15.75" customHeight="1" x14ac:dyDescent="0.3">
      <c r="C30" s="94">
        <v>947.89</v>
      </c>
      <c r="D30" s="87">
        <f t="shared" si="0"/>
        <v>-6.4462705966208999E-3</v>
      </c>
      <c r="E30" s="53"/>
    </row>
    <row r="31" spans="1:5" ht="15.75" customHeight="1" x14ac:dyDescent="0.3">
      <c r="C31" s="94">
        <v>946.74</v>
      </c>
      <c r="D31" s="87">
        <f t="shared" si="0"/>
        <v>-7.6516707894849064E-3</v>
      </c>
      <c r="E31" s="53"/>
    </row>
    <row r="32" spans="1:5" ht="15.75" customHeight="1" x14ac:dyDescent="0.3">
      <c r="C32" s="94">
        <v>961.05</v>
      </c>
      <c r="D32" s="87">
        <f t="shared" si="0"/>
        <v>7.3477003060665822E-3</v>
      </c>
      <c r="E32" s="53"/>
    </row>
    <row r="33" spans="1:7" ht="15.75" customHeight="1" x14ac:dyDescent="0.3">
      <c r="C33" s="94">
        <v>962.32</v>
      </c>
      <c r="D33" s="87">
        <f t="shared" si="0"/>
        <v>8.6788813886208727E-3</v>
      </c>
      <c r="E33" s="53"/>
    </row>
    <row r="34" spans="1:7" ht="15.75" customHeight="1" x14ac:dyDescent="0.3">
      <c r="C34" s="94">
        <v>942.43</v>
      </c>
      <c r="D34" s="87">
        <f t="shared" si="0"/>
        <v>-1.2169301077523205E-2</v>
      </c>
      <c r="E34" s="53"/>
    </row>
    <row r="35" spans="1:7" ht="15.75" customHeight="1" x14ac:dyDescent="0.3">
      <c r="C35" s="94">
        <v>969.19</v>
      </c>
      <c r="D35" s="87">
        <f t="shared" si="0"/>
        <v>1.5879837323382519E-2</v>
      </c>
      <c r="E35" s="53"/>
    </row>
    <row r="36" spans="1:7" ht="15.75" customHeight="1" x14ac:dyDescent="0.3">
      <c r="C36" s="94">
        <v>948.69</v>
      </c>
      <c r="D36" s="87">
        <f t="shared" si="0"/>
        <v>-5.6077313320197636E-3</v>
      </c>
      <c r="E36" s="53"/>
    </row>
    <row r="37" spans="1:7" ht="15.75" customHeight="1" x14ac:dyDescent="0.3">
      <c r="C37" s="94">
        <v>963.37</v>
      </c>
      <c r="D37" s="87">
        <f t="shared" si="0"/>
        <v>9.7794641734097222E-3</v>
      </c>
      <c r="E37" s="53"/>
    </row>
    <row r="38" spans="1:7" ht="15.75" customHeight="1" x14ac:dyDescent="0.3">
      <c r="C38" s="94">
        <v>961.42</v>
      </c>
      <c r="D38" s="87">
        <f t="shared" si="0"/>
        <v>7.7355247159445794E-3</v>
      </c>
      <c r="E38" s="53"/>
    </row>
    <row r="39" spans="1:7" ht="15.75" customHeight="1" x14ac:dyDescent="0.3">
      <c r="C39" s="94">
        <v>967.18</v>
      </c>
      <c r="D39" s="87">
        <f t="shared" si="0"/>
        <v>1.3773007421072236E-2</v>
      </c>
      <c r="E39" s="53"/>
    </row>
    <row r="40" spans="1:7" ht="15.75" customHeight="1" x14ac:dyDescent="0.3">
      <c r="C40" s="94">
        <v>955.58</v>
      </c>
      <c r="D40" s="87">
        <f t="shared" si="0"/>
        <v>1.6141880843568925E-3</v>
      </c>
      <c r="E40" s="53"/>
    </row>
    <row r="41" spans="1:7" ht="15.75" customHeight="1" x14ac:dyDescent="0.3">
      <c r="C41" s="94">
        <v>939.5</v>
      </c>
      <c r="D41" s="87">
        <f t="shared" si="0"/>
        <v>-1.5240451134124552E-2</v>
      </c>
      <c r="E41" s="53"/>
    </row>
    <row r="42" spans="1:7" ht="15.75" customHeight="1" x14ac:dyDescent="0.3">
      <c r="C42" s="94">
        <v>955.09</v>
      </c>
      <c r="D42" s="87">
        <f t="shared" si="0"/>
        <v>1.1005827847887307E-3</v>
      </c>
      <c r="E42" s="53"/>
    </row>
    <row r="43" spans="1:7" ht="16.5" customHeight="1" thickBot="1" x14ac:dyDescent="0.35">
      <c r="C43" s="95">
        <v>949.81</v>
      </c>
      <c r="D43" s="88">
        <f t="shared" si="0"/>
        <v>-4.4337763615783874E-3</v>
      </c>
      <c r="E43" s="53"/>
    </row>
    <row r="44" spans="1:7" ht="16.5" customHeight="1" thickBot="1" x14ac:dyDescent="0.35">
      <c r="C44" s="54"/>
      <c r="D44" s="53"/>
      <c r="E44" s="55"/>
    </row>
    <row r="45" spans="1:7" ht="16.5" customHeight="1" thickBot="1" x14ac:dyDescent="0.35">
      <c r="B45" s="81" t="s">
        <v>37</v>
      </c>
      <c r="C45" s="82">
        <f>SUM(C24:C44)</f>
        <v>19080.800000000003</v>
      </c>
      <c r="D45" s="77"/>
      <c r="E45" s="54"/>
    </row>
    <row r="46" spans="1:7" ht="17.25" customHeight="1" thickBot="1" x14ac:dyDescent="0.35">
      <c r="B46" s="81" t="s">
        <v>38</v>
      </c>
      <c r="C46" s="83">
        <f>AVERAGE(C24:C44)</f>
        <v>954.04000000000019</v>
      </c>
      <c r="E46" s="56"/>
    </row>
    <row r="47" spans="1:7" ht="17.25" customHeight="1" thickBot="1" x14ac:dyDescent="0.35">
      <c r="A47" s="71"/>
      <c r="B47" s="78"/>
      <c r="D47" s="58"/>
      <c r="E47" s="56"/>
    </row>
    <row r="48" spans="1:7" ht="33.75" customHeight="1" thickBot="1" x14ac:dyDescent="0.35">
      <c r="B48" s="91" t="s">
        <v>38</v>
      </c>
      <c r="C48" s="84" t="s">
        <v>39</v>
      </c>
      <c r="D48" s="79"/>
      <c r="G48" s="58"/>
    </row>
    <row r="49" spans="1:6" ht="17.25" customHeight="1" thickBot="1" x14ac:dyDescent="0.35">
      <c r="B49" s="301">
        <f>C46</f>
        <v>954.04000000000019</v>
      </c>
      <c r="C49" s="92">
        <f>-IF(C46&lt;=80,10%,IF(C46&lt;250,7.5%,5%))</f>
        <v>-0.05</v>
      </c>
      <c r="D49" s="80">
        <f>IF(C46&lt;=80,C46*0.9,IF(C46&lt;250,C46*0.925,C46*0.95))</f>
        <v>906.33800000000019</v>
      </c>
    </row>
    <row r="50" spans="1:6" ht="17.25" customHeight="1" thickBot="1" x14ac:dyDescent="0.35">
      <c r="B50" s="302"/>
      <c r="C50" s="93">
        <f>IF(C46&lt;=80, 10%, IF(C46&lt;250, 7.5%, 5%))</f>
        <v>0.05</v>
      </c>
      <c r="D50" s="80">
        <f>IF(C46&lt;=80, C46*1.1, IF(C46&lt;250, C46*1.075, C46*1.05))</f>
        <v>1001.7420000000002</v>
      </c>
    </row>
    <row r="51" spans="1:6" ht="16.5" customHeight="1" thickBot="1" x14ac:dyDescent="0.35">
      <c r="A51" s="63"/>
      <c r="B51" s="64"/>
      <c r="C51" s="71"/>
      <c r="D51" s="65"/>
      <c r="E51" s="71"/>
      <c r="F51" s="66"/>
    </row>
    <row r="52" spans="1:6" ht="16.5" customHeight="1" x14ac:dyDescent="0.3">
      <c r="A52" s="71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294" t="s">
        <v>24</v>
      </c>
      <c r="B53" s="295" t="s">
        <v>120</v>
      </c>
      <c r="C53" s="71"/>
      <c r="D53" s="293">
        <v>42339</v>
      </c>
      <c r="E53" s="71"/>
      <c r="F53" s="72"/>
    </row>
    <row r="54" spans="1:6" ht="34.5" customHeight="1" x14ac:dyDescent="0.3">
      <c r="A54" s="294" t="s">
        <v>25</v>
      </c>
      <c r="B54" s="73"/>
      <c r="C54" s="74"/>
      <c r="D54" s="73"/>
      <c r="E54" s="7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5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4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19" sqref="D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6" t="s">
        <v>27</v>
      </c>
      <c r="B12" s="306"/>
      <c r="C12" s="306"/>
      <c r="D12" s="306"/>
      <c r="E12" s="306"/>
      <c r="F12" s="306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132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6" t="s">
        <v>1</v>
      </c>
      <c r="B21" s="306"/>
      <c r="C21" s="59" t="s">
        <v>34</v>
      </c>
      <c r="D21" s="66"/>
    </row>
    <row r="22" spans="1:5" ht="15.75" customHeight="1" x14ac:dyDescent="0.3">
      <c r="A22" s="308"/>
      <c r="B22" s="308"/>
      <c r="C22" s="57"/>
      <c r="D22" s="308"/>
      <c r="E22" s="30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343.82</v>
      </c>
      <c r="D24" s="86">
        <f t="shared" ref="D24:D43" si="0">(C24-$C$46)/$C$46</f>
        <v>-1.0686724176627319E-2</v>
      </c>
      <c r="E24" s="53"/>
    </row>
    <row r="25" spans="1:5" ht="15.75" customHeight="1" x14ac:dyDescent="0.3">
      <c r="C25" s="94">
        <v>350.19</v>
      </c>
      <c r="D25" s="87">
        <f t="shared" si="0"/>
        <v>7.6424177202806228E-3</v>
      </c>
      <c r="E25" s="53"/>
    </row>
    <row r="26" spans="1:5" ht="15.75" customHeight="1" x14ac:dyDescent="0.3">
      <c r="C26" s="94">
        <v>346.37</v>
      </c>
      <c r="D26" s="87">
        <f t="shared" si="0"/>
        <v>-3.3493125852434216E-3</v>
      </c>
      <c r="E26" s="53"/>
    </row>
    <row r="27" spans="1:5" ht="15.75" customHeight="1" x14ac:dyDescent="0.3">
      <c r="C27" s="94">
        <v>351.86</v>
      </c>
      <c r="D27" s="87">
        <f t="shared" si="0"/>
        <v>1.2447702958559513E-2</v>
      </c>
      <c r="E27" s="53"/>
    </row>
    <row r="28" spans="1:5" ht="15.75" customHeight="1" x14ac:dyDescent="0.3">
      <c r="C28" s="94">
        <v>352.09</v>
      </c>
      <c r="D28" s="87">
        <f t="shared" si="0"/>
        <v>1.3109508709939124E-2</v>
      </c>
      <c r="E28" s="53"/>
    </row>
    <row r="29" spans="1:5" ht="15.75" customHeight="1" x14ac:dyDescent="0.3">
      <c r="C29" s="94">
        <v>358.42</v>
      </c>
      <c r="D29" s="87">
        <f t="shared" si="0"/>
        <v>3.1323553954433307E-2</v>
      </c>
      <c r="E29" s="53"/>
    </row>
    <row r="30" spans="1:5" ht="15.75" customHeight="1" x14ac:dyDescent="0.3">
      <c r="C30" s="94">
        <v>347.35</v>
      </c>
      <c r="D30" s="87">
        <f t="shared" si="0"/>
        <v>-5.2944460110368788E-4</v>
      </c>
      <c r="E30" s="53"/>
    </row>
    <row r="31" spans="1:5" ht="15.75" customHeight="1" x14ac:dyDescent="0.3">
      <c r="C31" s="94">
        <v>345.92</v>
      </c>
      <c r="D31" s="87">
        <f t="shared" si="0"/>
        <v>-4.6441499248993648E-3</v>
      </c>
      <c r="E31" s="53"/>
    </row>
    <row r="32" spans="1:5" ht="15.75" customHeight="1" x14ac:dyDescent="0.3">
      <c r="C32" s="94">
        <v>341.25</v>
      </c>
      <c r="D32" s="87">
        <f t="shared" si="0"/>
        <v>-1.8081684094218096E-2</v>
      </c>
      <c r="E32" s="53"/>
    </row>
    <row r="33" spans="1:7" ht="15.75" customHeight="1" x14ac:dyDescent="0.3">
      <c r="C33" s="94">
        <v>348.58</v>
      </c>
      <c r="D33" s="87">
        <f t="shared" si="0"/>
        <v>3.0097774606225357E-3</v>
      </c>
      <c r="E33" s="53"/>
    </row>
    <row r="34" spans="1:7" ht="15.75" customHeight="1" x14ac:dyDescent="0.3">
      <c r="C34" s="94">
        <v>341.29</v>
      </c>
      <c r="D34" s="87">
        <f t="shared" si="0"/>
        <v>-1.7966587441804172E-2</v>
      </c>
      <c r="E34" s="53"/>
    </row>
    <row r="35" spans="1:7" ht="15.75" customHeight="1" x14ac:dyDescent="0.3">
      <c r="C35" s="94">
        <v>348.39</v>
      </c>
      <c r="D35" s="87">
        <f t="shared" si="0"/>
        <v>2.4630683616566856E-3</v>
      </c>
      <c r="E35" s="53"/>
    </row>
    <row r="36" spans="1:7" ht="15.75" customHeight="1" x14ac:dyDescent="0.3">
      <c r="C36" s="94">
        <v>350.38</v>
      </c>
      <c r="D36" s="87">
        <f t="shared" si="0"/>
        <v>8.1891268192464724E-3</v>
      </c>
      <c r="E36" s="53"/>
    </row>
    <row r="37" spans="1:7" ht="15.75" customHeight="1" x14ac:dyDescent="0.3">
      <c r="C37" s="94">
        <v>340.71</v>
      </c>
      <c r="D37" s="87">
        <f t="shared" si="0"/>
        <v>-1.9635488901805328E-2</v>
      </c>
      <c r="E37" s="53"/>
    </row>
    <row r="38" spans="1:7" ht="15.75" customHeight="1" x14ac:dyDescent="0.3">
      <c r="C38" s="94">
        <v>338.74</v>
      </c>
      <c r="D38" s="87">
        <f t="shared" si="0"/>
        <v>-2.5303999033188071E-2</v>
      </c>
      <c r="E38" s="53"/>
    </row>
    <row r="39" spans="1:7" ht="15.75" customHeight="1" x14ac:dyDescent="0.3">
      <c r="C39" s="94">
        <v>353.66</v>
      </c>
      <c r="D39" s="87">
        <f t="shared" si="0"/>
        <v>1.762705231718345E-2</v>
      </c>
      <c r="E39" s="53"/>
    </row>
    <row r="40" spans="1:7" ht="15.75" customHeight="1" x14ac:dyDescent="0.3">
      <c r="C40" s="94">
        <v>348.97</v>
      </c>
      <c r="D40" s="87">
        <f t="shared" si="0"/>
        <v>4.1319698216578391E-3</v>
      </c>
      <c r="E40" s="53"/>
    </row>
    <row r="41" spans="1:7" ht="15.75" customHeight="1" x14ac:dyDescent="0.3">
      <c r="C41" s="94">
        <v>347.53</v>
      </c>
      <c r="D41" s="87">
        <f t="shared" si="0"/>
        <v>-1.1509665241441412E-5</v>
      </c>
      <c r="E41" s="53"/>
    </row>
    <row r="42" spans="1:7" ht="15.75" customHeight="1" x14ac:dyDescent="0.3">
      <c r="C42" s="94">
        <v>341.79</v>
      </c>
      <c r="D42" s="87">
        <f t="shared" si="0"/>
        <v>-1.6527879286630867E-2</v>
      </c>
      <c r="E42" s="53"/>
    </row>
    <row r="43" spans="1:7" ht="16.5" customHeight="1" x14ac:dyDescent="0.3">
      <c r="C43" s="95">
        <v>353.37</v>
      </c>
      <c r="D43" s="88">
        <f t="shared" si="0"/>
        <v>1.6792601587182873E-2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6950.6799999999994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347.53399999999999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1">
        <f>C46</f>
        <v>347.53399999999999</v>
      </c>
      <c r="C49" s="92">
        <f>-IF(C46&lt;=80,10%,IF(C46&lt;250,7.5%,5%))</f>
        <v>-0.05</v>
      </c>
      <c r="D49" s="80">
        <f>IF(C46&lt;=80,C46*0.9,IF(C46&lt;250,C46*0.925,C46*0.95))</f>
        <v>330.15729999999996</v>
      </c>
    </row>
    <row r="50" spans="1:6" ht="17.25" customHeight="1" x14ac:dyDescent="0.3">
      <c r="B50" s="302"/>
      <c r="C50" s="93">
        <f>IF(C46&lt;=80, 10%, IF(C46&lt;250, 7.5%, 5%))</f>
        <v>0.05</v>
      </c>
      <c r="D50" s="80">
        <f>IF(C46&lt;=80, C46*1.1, IF(C46&lt;250, C46*1.075, C46*1.05))</f>
        <v>364.91070000000002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5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1" zoomScale="60" zoomScaleNormal="40" zoomScalePageLayoutView="50" workbookViewId="0">
      <selection activeCell="C64" sqref="C64:C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9" t="s">
        <v>40</v>
      </c>
      <c r="B1" s="309"/>
      <c r="C1" s="309"/>
      <c r="D1" s="309"/>
      <c r="E1" s="309"/>
      <c r="F1" s="309"/>
      <c r="G1" s="309"/>
      <c r="H1" s="309"/>
      <c r="I1" s="309"/>
    </row>
    <row r="2" spans="1:9" ht="18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</row>
    <row r="3" spans="1:9" ht="18.75" customHeight="1" x14ac:dyDescent="0.25">
      <c r="A3" s="309"/>
      <c r="B3" s="309"/>
      <c r="C3" s="309"/>
      <c r="D3" s="309"/>
      <c r="E3" s="309"/>
      <c r="F3" s="309"/>
      <c r="G3" s="309"/>
      <c r="H3" s="309"/>
      <c r="I3" s="309"/>
    </row>
    <row r="4" spans="1:9" ht="18.75" customHeight="1" x14ac:dyDescent="0.25">
      <c r="A4" s="309"/>
      <c r="B4" s="309"/>
      <c r="C4" s="309"/>
      <c r="D4" s="309"/>
      <c r="E4" s="309"/>
      <c r="F4" s="309"/>
      <c r="G4" s="309"/>
      <c r="H4" s="309"/>
      <c r="I4" s="309"/>
    </row>
    <row r="5" spans="1:9" ht="18.75" customHeight="1" x14ac:dyDescent="0.25">
      <c r="A5" s="309"/>
      <c r="B5" s="309"/>
      <c r="C5" s="309"/>
      <c r="D5" s="309"/>
      <c r="E5" s="309"/>
      <c r="F5" s="309"/>
      <c r="G5" s="309"/>
      <c r="H5" s="309"/>
      <c r="I5" s="309"/>
    </row>
    <row r="6" spans="1:9" ht="18.75" customHeight="1" x14ac:dyDescent="0.25">
      <c r="A6" s="309"/>
      <c r="B6" s="309"/>
      <c r="C6" s="309"/>
      <c r="D6" s="309"/>
      <c r="E6" s="309"/>
      <c r="F6" s="309"/>
      <c r="G6" s="309"/>
      <c r="H6" s="309"/>
      <c r="I6" s="309"/>
    </row>
    <row r="7" spans="1:9" ht="18.75" customHeight="1" x14ac:dyDescent="0.25">
      <c r="A7" s="309"/>
      <c r="B7" s="309"/>
      <c r="C7" s="309"/>
      <c r="D7" s="309"/>
      <c r="E7" s="309"/>
      <c r="F7" s="309"/>
      <c r="G7" s="309"/>
      <c r="H7" s="309"/>
      <c r="I7" s="309"/>
    </row>
    <row r="8" spans="1:9" x14ac:dyDescent="0.25">
      <c r="A8" s="310" t="s">
        <v>41</v>
      </c>
      <c r="B8" s="310"/>
      <c r="C8" s="310"/>
      <c r="D8" s="310"/>
      <c r="E8" s="310"/>
      <c r="F8" s="310"/>
      <c r="G8" s="310"/>
      <c r="H8" s="310"/>
      <c r="I8" s="310"/>
    </row>
    <row r="9" spans="1:9" x14ac:dyDescent="0.25">
      <c r="A9" s="310"/>
      <c r="B9" s="310"/>
      <c r="C9" s="310"/>
      <c r="D9" s="310"/>
      <c r="E9" s="310"/>
      <c r="F9" s="310"/>
      <c r="G9" s="310"/>
      <c r="H9" s="310"/>
      <c r="I9" s="310"/>
    </row>
    <row r="10" spans="1:9" x14ac:dyDescent="0.25">
      <c r="A10" s="310"/>
      <c r="B10" s="310"/>
      <c r="C10" s="310"/>
      <c r="D10" s="310"/>
      <c r="E10" s="310"/>
      <c r="F10" s="310"/>
      <c r="G10" s="310"/>
      <c r="H10" s="310"/>
      <c r="I10" s="310"/>
    </row>
    <row r="11" spans="1:9" x14ac:dyDescent="0.25">
      <c r="A11" s="310"/>
      <c r="B11" s="310"/>
      <c r="C11" s="310"/>
      <c r="D11" s="310"/>
      <c r="E11" s="310"/>
      <c r="F11" s="310"/>
      <c r="G11" s="310"/>
      <c r="H11" s="310"/>
      <c r="I11" s="310"/>
    </row>
    <row r="12" spans="1:9" x14ac:dyDescent="0.25">
      <c r="A12" s="310"/>
      <c r="B12" s="310"/>
      <c r="C12" s="310"/>
      <c r="D12" s="310"/>
      <c r="E12" s="310"/>
      <c r="F12" s="310"/>
      <c r="G12" s="310"/>
      <c r="H12" s="310"/>
      <c r="I12" s="310"/>
    </row>
    <row r="13" spans="1:9" x14ac:dyDescent="0.25">
      <c r="A13" s="310"/>
      <c r="B13" s="310"/>
      <c r="C13" s="310"/>
      <c r="D13" s="310"/>
      <c r="E13" s="310"/>
      <c r="F13" s="310"/>
      <c r="G13" s="310"/>
      <c r="H13" s="310"/>
      <c r="I13" s="310"/>
    </row>
    <row r="14" spans="1:9" x14ac:dyDescent="0.25">
      <c r="A14" s="310"/>
      <c r="B14" s="310"/>
      <c r="C14" s="310"/>
      <c r="D14" s="310"/>
      <c r="E14" s="310"/>
      <c r="F14" s="310"/>
      <c r="G14" s="310"/>
      <c r="H14" s="310"/>
      <c r="I14" s="310"/>
    </row>
    <row r="15" spans="1:9" ht="19.5" customHeight="1" x14ac:dyDescent="0.3">
      <c r="A15" s="97"/>
    </row>
    <row r="16" spans="1:9" ht="19.5" customHeight="1" x14ac:dyDescent="0.3">
      <c r="A16" s="342" t="s">
        <v>26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45" t="s">
        <v>42</v>
      </c>
      <c r="B17" s="345"/>
      <c r="C17" s="345"/>
      <c r="D17" s="345"/>
      <c r="E17" s="345"/>
      <c r="F17" s="345"/>
      <c r="G17" s="345"/>
      <c r="H17" s="345"/>
    </row>
    <row r="18" spans="1:14" ht="26.25" customHeight="1" x14ac:dyDescent="0.4">
      <c r="A18" s="99" t="s">
        <v>28</v>
      </c>
      <c r="B18" s="341" t="s">
        <v>121</v>
      </c>
      <c r="C18" s="341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NDQD201508230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6" t="s">
        <v>128</v>
      </c>
      <c r="C20" s="346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6" t="str">
        <f>Uniformity!C17</f>
        <v xml:space="preserve">Each white tablet contains Artesunate 50 mg </v>
      </c>
      <c r="C21" s="346"/>
      <c r="D21" s="346"/>
      <c r="E21" s="346"/>
      <c r="F21" s="346"/>
      <c r="G21" s="346"/>
      <c r="H21" s="346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1" t="s">
        <v>125</v>
      </c>
      <c r="C26" s="341"/>
    </row>
    <row r="27" spans="1:14" ht="26.25" customHeight="1" x14ac:dyDescent="0.4">
      <c r="A27" s="108" t="s">
        <v>43</v>
      </c>
      <c r="B27" s="338" t="s">
        <v>126</v>
      </c>
      <c r="C27" s="338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7" t="s">
        <v>45</v>
      </c>
      <c r="D29" s="318"/>
      <c r="E29" s="318"/>
      <c r="F29" s="318"/>
      <c r="G29" s="319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8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20" t="s">
        <v>48</v>
      </c>
      <c r="D31" s="321"/>
      <c r="E31" s="321"/>
      <c r="F31" s="321"/>
      <c r="G31" s="321"/>
      <c r="H31" s="322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20" t="s">
        <v>50</v>
      </c>
      <c r="D32" s="321"/>
      <c r="E32" s="321"/>
      <c r="F32" s="321"/>
      <c r="G32" s="321"/>
      <c r="H32" s="32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3" t="s">
        <v>54</v>
      </c>
      <c r="E36" s="340"/>
      <c r="F36" s="323" t="s">
        <v>55</v>
      </c>
      <c r="G36" s="324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28263753</v>
      </c>
      <c r="E38" s="132">
        <f>IF(ISBLANK(D38),"-",$D$48/$D$45*D38)</f>
        <v>36119627.064291582</v>
      </c>
      <c r="F38" s="131">
        <v>31331416</v>
      </c>
      <c r="G38" s="133">
        <f>IF(ISBLANK(F38),"-",$D$48/$F$45*F38)</f>
        <v>36011534.171574496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28348561</v>
      </c>
      <c r="E39" s="137">
        <f>IF(ISBLANK(D39),"-",$D$48/$D$45*D39)</f>
        <v>36228007.33962404</v>
      </c>
      <c r="F39" s="136">
        <v>31286024</v>
      </c>
      <c r="G39" s="138">
        <f>IF(ISBLANK(F39),"-",$D$48/$F$45*F39)</f>
        <v>35959361.75909508</v>
      </c>
      <c r="I39" s="325">
        <f>ABS((F43/D43*D42)-F42)/D42</f>
        <v>6.0930626725696291E-3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28310763</v>
      </c>
      <c r="E40" s="137">
        <f>IF(ISBLANK(D40),"-",$D$48/$D$45*D40)</f>
        <v>36179703.433777697</v>
      </c>
      <c r="F40" s="136">
        <v>31288065</v>
      </c>
      <c r="G40" s="138">
        <f>IF(ISBLANK(F40),"-",$D$48/$F$45*F40)</f>
        <v>35961707.632682286</v>
      </c>
      <c r="I40" s="325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28307692.333333332</v>
      </c>
      <c r="E42" s="147">
        <f>AVERAGE(E38:E41)</f>
        <v>36175779.279231101</v>
      </c>
      <c r="F42" s="146">
        <f>AVERAGE(F38:F41)</f>
        <v>31301835</v>
      </c>
      <c r="G42" s="148">
        <f>AVERAGE(G38:G41)</f>
        <v>35977534.521117292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11.8</v>
      </c>
      <c r="E43" s="139"/>
      <c r="F43" s="151">
        <v>13.12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9.7910912101494922</v>
      </c>
      <c r="E44" s="154"/>
      <c r="F44" s="153">
        <f>F43*$B$34</f>
        <v>10.886365820098415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9.7813001189393436</v>
      </c>
      <c r="E45" s="157"/>
      <c r="F45" s="156">
        <f>F44*$B$30/100</f>
        <v>10.875479454278318</v>
      </c>
      <c r="H45" s="149"/>
    </row>
    <row r="46" spans="1:14" ht="19.5" customHeight="1" x14ac:dyDescent="0.3">
      <c r="A46" s="311" t="s">
        <v>73</v>
      </c>
      <c r="B46" s="312"/>
      <c r="C46" s="152" t="s">
        <v>74</v>
      </c>
      <c r="D46" s="158">
        <f>D45/$B$45</f>
        <v>0.15650080190302951</v>
      </c>
      <c r="E46" s="159"/>
      <c r="F46" s="160">
        <f>F45/$B$45</f>
        <v>0.1740076712684531</v>
      </c>
      <c r="H46" s="149"/>
    </row>
    <row r="47" spans="1:14" ht="27" customHeight="1" x14ac:dyDescent="0.4">
      <c r="A47" s="313"/>
      <c r="B47" s="314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36076656.900174193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3.1987114382929713E-3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 xml:space="preserve">Each white tablet contains Artesunate 50 mg </v>
      </c>
    </row>
    <row r="56" spans="1:12" ht="26.25" customHeight="1" x14ac:dyDescent="0.4">
      <c r="A56" s="176" t="s">
        <v>82</v>
      </c>
      <c r="B56" s="177">
        <v>150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v>954.04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100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8" t="s">
        <v>89</v>
      </c>
      <c r="D60" s="331">
        <v>950.45</v>
      </c>
      <c r="E60" s="181">
        <v>1</v>
      </c>
      <c r="F60" s="182">
        <v>42957600</v>
      </c>
      <c r="G60" s="271">
        <f>IF(ISBLANK(F60),"-",(F60/$D$50*$D$47*$B$68)*($B$57/$D$60))</f>
        <v>149.40359416443863</v>
      </c>
      <c r="H60" s="183">
        <f>IF(ISBLANK(F60),"-",G60/$B$56)</f>
        <v>0.99602396109625757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9"/>
      <c r="D61" s="332"/>
      <c r="E61" s="184">
        <v>2</v>
      </c>
      <c r="F61" s="136">
        <v>43121194</v>
      </c>
      <c r="G61" s="272">
        <f>IF(ISBLANK(F61),"-",(F61/$D$50*$D$47*$B$68)*($B$57/$D$60))</f>
        <v>149.97256290533051</v>
      </c>
      <c r="H61" s="185">
        <f t="shared" ref="H61:H71" si="0">IF(ISBLANK(F61),"-",G61/$B$56)</f>
        <v>0.99981708603553665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9"/>
      <c r="D62" s="332"/>
      <c r="E62" s="184">
        <v>3</v>
      </c>
      <c r="F62" s="186">
        <v>43263408</v>
      </c>
      <c r="G62" s="272">
        <f>IF(ISBLANK(F62),"-",(F62/$D$50*$D$47*$B$68)*($B$57/$D$60))</f>
        <v>150.46717346878148</v>
      </c>
      <c r="H62" s="185">
        <f t="shared" si="0"/>
        <v>1.0031144897918765</v>
      </c>
      <c r="L62" s="111"/>
    </row>
    <row r="63" spans="1:12" ht="27" customHeight="1" x14ac:dyDescent="0.4">
      <c r="A63" s="123" t="s">
        <v>92</v>
      </c>
      <c r="B63" s="124">
        <v>1</v>
      </c>
      <c r="C63" s="339"/>
      <c r="D63" s="333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8" t="s">
        <v>94</v>
      </c>
      <c r="D64" s="331">
        <v>966</v>
      </c>
      <c r="E64" s="181">
        <v>1</v>
      </c>
      <c r="F64" s="182">
        <v>43564874</v>
      </c>
      <c r="G64" s="273">
        <f>IF(ISBLANK(F64),"-",(F64/$D$50*$D$47*$B$68)*($B$57/$D$64))</f>
        <v>149.07665740958689</v>
      </c>
      <c r="H64" s="189">
        <f>IF(ISBLANK(F64),"-",G64/$B$56)</f>
        <v>0.99384438273057929</v>
      </c>
    </row>
    <row r="65" spans="1:8" ht="26.25" customHeight="1" x14ac:dyDescent="0.4">
      <c r="A65" s="123" t="s">
        <v>95</v>
      </c>
      <c r="B65" s="124">
        <v>1</v>
      </c>
      <c r="C65" s="329"/>
      <c r="D65" s="332"/>
      <c r="E65" s="184">
        <v>2</v>
      </c>
      <c r="F65" s="136">
        <v>43611430</v>
      </c>
      <c r="G65" s="274">
        <f>IF(ISBLANK(F65),"-",(F65/$D$50*$D$47*$B$68)*($B$57/$D$64))</f>
        <v>149.2359695394087</v>
      </c>
      <c r="H65" s="190">
        <f t="shared" si="0"/>
        <v>0.99490646359605794</v>
      </c>
    </row>
    <row r="66" spans="1:8" ht="26.25" customHeight="1" x14ac:dyDescent="0.4">
      <c r="A66" s="123" t="s">
        <v>96</v>
      </c>
      <c r="B66" s="124">
        <v>1</v>
      </c>
      <c r="C66" s="329"/>
      <c r="D66" s="332"/>
      <c r="E66" s="184">
        <v>3</v>
      </c>
      <c r="F66" s="136">
        <v>43822091</v>
      </c>
      <c r="G66" s="274">
        <f>IF(ISBLANK(F66),"-",(F66/$D$50*$D$47*$B$68)*($B$57/$D$64))</f>
        <v>149.95684015931599</v>
      </c>
      <c r="H66" s="190">
        <f t="shared" si="0"/>
        <v>0.9997122677287732</v>
      </c>
    </row>
    <row r="67" spans="1:8" ht="27" customHeight="1" x14ac:dyDescent="0.4">
      <c r="A67" s="123" t="s">
        <v>97</v>
      </c>
      <c r="B67" s="124">
        <v>1</v>
      </c>
      <c r="C67" s="339"/>
      <c r="D67" s="333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625</v>
      </c>
      <c r="C68" s="328" t="s">
        <v>99</v>
      </c>
      <c r="D68" s="331">
        <v>963.14</v>
      </c>
      <c r="E68" s="181">
        <v>1</v>
      </c>
      <c r="F68" s="182">
        <v>42470809</v>
      </c>
      <c r="G68" s="273">
        <f>IF(ISBLANK(F68),"-",(F68/$D$50*$D$47*$B$68)*($B$57/$D$68))</f>
        <v>145.76438493279798</v>
      </c>
      <c r="H68" s="185">
        <f>IF(ISBLANK(F68),"-",G68/$B$56)</f>
        <v>0.9717625662186532</v>
      </c>
    </row>
    <row r="69" spans="1:8" ht="27" customHeight="1" x14ac:dyDescent="0.4">
      <c r="A69" s="171" t="s">
        <v>100</v>
      </c>
      <c r="B69" s="193">
        <f>(D47*B68)/B56*B57</f>
        <v>795.0333333333333</v>
      </c>
      <c r="C69" s="329"/>
      <c r="D69" s="332"/>
      <c r="E69" s="184">
        <v>2</v>
      </c>
      <c r="F69" s="136">
        <v>42746930</v>
      </c>
      <c r="G69" s="274">
        <f>IF(ISBLANK(F69),"-",(F69/$D$50*$D$47*$B$68)*($B$57/$D$68))</f>
        <v>146.71206190622294</v>
      </c>
      <c r="H69" s="185">
        <f t="shared" si="0"/>
        <v>0.97808041270815294</v>
      </c>
    </row>
    <row r="70" spans="1:8" ht="26.25" customHeight="1" x14ac:dyDescent="0.4">
      <c r="A70" s="334" t="s">
        <v>73</v>
      </c>
      <c r="B70" s="335"/>
      <c r="C70" s="329"/>
      <c r="D70" s="332"/>
      <c r="E70" s="184">
        <v>3</v>
      </c>
      <c r="F70" s="136">
        <v>42764083</v>
      </c>
      <c r="G70" s="274">
        <f>IF(ISBLANK(F70),"-",(F70/$D$50*$D$47*$B$68)*($B$57/$D$68))</f>
        <v>146.77093284731455</v>
      </c>
      <c r="H70" s="185">
        <f t="shared" si="0"/>
        <v>0.97847288564876367</v>
      </c>
    </row>
    <row r="71" spans="1:8" ht="27" customHeight="1" x14ac:dyDescent="0.4">
      <c r="A71" s="336"/>
      <c r="B71" s="337"/>
      <c r="C71" s="330"/>
      <c r="D71" s="333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0.9906371683949613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1.1519112402888462E-2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5" t="str">
        <f>B20</f>
        <v>Amodiaquine</v>
      </c>
      <c r="D76" s="315"/>
      <c r="E76" s="204" t="s">
        <v>103</v>
      </c>
      <c r="F76" s="204"/>
      <c r="G76" s="205">
        <f>H72</f>
        <v>0.9906371683949613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8" t="str">
        <f>B26</f>
        <v>Amodiaquine HCl</v>
      </c>
      <c r="C79" s="338"/>
    </row>
    <row r="80" spans="1:8" ht="26.25" customHeight="1" x14ac:dyDescent="0.4">
      <c r="A80" s="108" t="s">
        <v>43</v>
      </c>
      <c r="B80" s="338" t="str">
        <f>B27</f>
        <v>A7 1</v>
      </c>
      <c r="C80" s="338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7" t="s">
        <v>45</v>
      </c>
      <c r="D82" s="318"/>
      <c r="E82" s="318"/>
      <c r="F82" s="318"/>
      <c r="G82" s="319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20" t="s">
        <v>106</v>
      </c>
      <c r="D84" s="321"/>
      <c r="E84" s="321"/>
      <c r="F84" s="321"/>
      <c r="G84" s="321"/>
      <c r="H84" s="322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20" t="s">
        <v>107</v>
      </c>
      <c r="D85" s="321"/>
      <c r="E85" s="321"/>
      <c r="F85" s="321"/>
      <c r="G85" s="321"/>
      <c r="H85" s="32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3" t="s">
        <v>55</v>
      </c>
      <c r="G89" s="324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17041876</v>
      </c>
      <c r="E91" s="132">
        <f>IF(ISBLANK(D91),"-",$D$101/$D$98*D91)</f>
        <v>30248116.219734259</v>
      </c>
      <c r="F91" s="281">
        <v>18825247</v>
      </c>
      <c r="G91" s="133">
        <f>IF(ISBLANK(F91),"-",$D$101/$F$98*F91)</f>
        <v>30051751.394973226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16927886</v>
      </c>
      <c r="E92" s="137">
        <f>IF(ISBLANK(D92),"-",$D$101/$D$98*D92)</f>
        <v>30045792.087820172</v>
      </c>
      <c r="F92" s="282">
        <v>18918178</v>
      </c>
      <c r="G92" s="138">
        <f>IF(ISBLANK(F92),"-",$D$101/$F$98*F92)</f>
        <v>30200102.134216446</v>
      </c>
      <c r="I92" s="325">
        <f>ABS((F96/D96*D95)-F95)/D95</f>
        <v>1.8341259748005396E-3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17078749</v>
      </c>
      <c r="E93" s="137">
        <f>IF(ISBLANK(D93),"-",$D$101/$D$98*D93)</f>
        <v>30313563.168730382</v>
      </c>
      <c r="F93" s="282">
        <v>18921968</v>
      </c>
      <c r="G93" s="138">
        <f>IF(ISBLANK(F93),"-",$D$101/$F$98*F93)</f>
        <v>30206152.314476337</v>
      </c>
      <c r="I93" s="325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17016170.333333332</v>
      </c>
      <c r="E95" s="147">
        <f>AVERAGE(E91:E94)</f>
        <v>30202490.492094938</v>
      </c>
      <c r="F95" s="216">
        <f>AVERAGE(F91:F94)</f>
        <v>18888464.333333332</v>
      </c>
      <c r="G95" s="217">
        <f>AVERAGE(G91:G94)</f>
        <v>30152668.61455534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11.8</v>
      </c>
      <c r="E96" s="139"/>
      <c r="F96" s="151">
        <v>13.12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9.7910912101494922</v>
      </c>
      <c r="E97" s="154"/>
      <c r="F97" s="153">
        <f>F96*$B$87</f>
        <v>10.886365820098415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9.7813001189393436</v>
      </c>
      <c r="E98" s="157"/>
      <c r="F98" s="156">
        <f>F97*$B$83/100</f>
        <v>10.875479454278318</v>
      </c>
    </row>
    <row r="99" spans="1:10" ht="19.5" customHeight="1" x14ac:dyDescent="0.3">
      <c r="A99" s="311" t="s">
        <v>73</v>
      </c>
      <c r="B99" s="326"/>
      <c r="C99" s="220" t="s">
        <v>111</v>
      </c>
      <c r="D99" s="224">
        <f>D98/$B$98</f>
        <v>4.6950240570908845E-2</v>
      </c>
      <c r="E99" s="157"/>
      <c r="F99" s="160">
        <f>F98/$B$98</f>
        <v>5.2202301380535929E-2</v>
      </c>
      <c r="G99" s="225"/>
      <c r="H99" s="149"/>
    </row>
    <row r="100" spans="1:10" ht="19.5" customHeight="1" x14ac:dyDescent="0.3">
      <c r="A100" s="313"/>
      <c r="B100" s="327"/>
      <c r="C100" s="220" t="s">
        <v>75</v>
      </c>
      <c r="D100" s="226">
        <f>$B$56/$B$116</f>
        <v>8.3333333333333329E-2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17.361111111111111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20.923215473547128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30177579.553325143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3.5687161058677872E-3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25477874</v>
      </c>
      <c r="E108" s="277">
        <f t="shared" ref="E108:E113" si="1">IF(ISBLANK(D108),"-",D108/$D$103*$D$100*$B$116)</f>
        <v>126.63974899799094</v>
      </c>
      <c r="F108" s="243">
        <f>IF(ISBLANK(D108), "-", E108/$B$56)</f>
        <v>0.84426499331993954</v>
      </c>
    </row>
    <row r="109" spans="1:10" ht="26.25" customHeight="1" x14ac:dyDescent="0.4">
      <c r="A109" s="123" t="s">
        <v>90</v>
      </c>
      <c r="B109" s="124">
        <v>10</v>
      </c>
      <c r="C109" s="241">
        <v>2</v>
      </c>
      <c r="D109" s="242">
        <v>25551800</v>
      </c>
      <c r="E109" s="278">
        <f t="shared" si="1"/>
        <v>127.0072039153214</v>
      </c>
      <c r="F109" s="244">
        <f t="shared" ref="F109:F113" si="2">IF(ISBLANK(D109), "-", E109/$B$56)</f>
        <v>0.84671469276880929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25596514</v>
      </c>
      <c r="E110" s="278">
        <f t="shared" si="1"/>
        <v>127.22945832072023</v>
      </c>
      <c r="F110" s="244">
        <f>IF(ISBLANK(D110), "-", E110/$B$56)</f>
        <v>0.84819638880480153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25464622</v>
      </c>
      <c r="E111" s="278">
        <f t="shared" si="1"/>
        <v>126.5738789040529</v>
      </c>
      <c r="F111" s="244">
        <f t="shared" si="2"/>
        <v>0.8438258593603527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26862135</v>
      </c>
      <c r="E112" s="278">
        <f t="shared" si="1"/>
        <v>133.52032567356866</v>
      </c>
      <c r="F112" s="244">
        <f>IF(ISBLANK(D112), "-", E112/$B$56)</f>
        <v>0.89013550449045775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25417682</v>
      </c>
      <c r="E113" s="279">
        <f t="shared" si="1"/>
        <v>126.34055999298657</v>
      </c>
      <c r="F113" s="247">
        <f t="shared" si="2"/>
        <v>0.84227039995324382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0.85256797311626731</v>
      </c>
    </row>
    <row r="116" spans="1:10" ht="27" customHeight="1" x14ac:dyDescent="0.4">
      <c r="A116" s="123" t="s">
        <v>98</v>
      </c>
      <c r="B116" s="155">
        <f>(B115/B114)*(B113/B112)*(B111/B110)*(B109/B108)*B107</f>
        <v>1800</v>
      </c>
      <c r="C116" s="252"/>
      <c r="D116" s="253"/>
      <c r="E116" s="214" t="s">
        <v>79</v>
      </c>
      <c r="F116" s="254">
        <f>STDEV(F108:F113)/F115</f>
        <v>2.1729846494012547E-2</v>
      </c>
      <c r="I116" s="97"/>
    </row>
    <row r="117" spans="1:10" ht="27" customHeight="1" x14ac:dyDescent="0.4">
      <c r="A117" s="311" t="s">
        <v>73</v>
      </c>
      <c r="B117" s="312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3"/>
      <c r="B118" s="314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5" t="str">
        <f>B20</f>
        <v>Amodiaquine</v>
      </c>
      <c r="D120" s="315"/>
      <c r="E120" s="204" t="s">
        <v>119</v>
      </c>
      <c r="F120" s="204"/>
      <c r="G120" s="205">
        <f>F115</f>
        <v>0.85256797311626731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6" t="s">
        <v>21</v>
      </c>
      <c r="C122" s="316"/>
      <c r="E122" s="210" t="s">
        <v>22</v>
      </c>
      <c r="F122" s="261"/>
      <c r="G122" s="316" t="s">
        <v>23</v>
      </c>
      <c r="H122" s="316"/>
    </row>
    <row r="123" spans="1:10" ht="69.95" customHeight="1" x14ac:dyDescent="0.3">
      <c r="A123" s="262" t="s">
        <v>24</v>
      </c>
      <c r="B123" s="213" t="s">
        <v>120</v>
      </c>
      <c r="C123" s="263"/>
      <c r="E123" s="297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2" zoomScale="60" zoomScaleNormal="40" zoomScalePageLayoutView="50" workbookViewId="0">
      <selection activeCell="F62" sqref="F62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9" t="s">
        <v>40</v>
      </c>
      <c r="B1" s="309"/>
      <c r="C1" s="309"/>
      <c r="D1" s="309"/>
      <c r="E1" s="309"/>
      <c r="F1" s="309"/>
      <c r="G1" s="309"/>
      <c r="H1" s="309"/>
      <c r="I1" s="309"/>
    </row>
    <row r="2" spans="1:9" ht="18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</row>
    <row r="3" spans="1:9" ht="18.75" customHeight="1" x14ac:dyDescent="0.25">
      <c r="A3" s="309"/>
      <c r="B3" s="309"/>
      <c r="C3" s="309"/>
      <c r="D3" s="309"/>
      <c r="E3" s="309"/>
      <c r="F3" s="309"/>
      <c r="G3" s="309"/>
      <c r="H3" s="309"/>
      <c r="I3" s="309"/>
    </row>
    <row r="4" spans="1:9" ht="18.75" customHeight="1" x14ac:dyDescent="0.25">
      <c r="A4" s="309"/>
      <c r="B4" s="309"/>
      <c r="C4" s="309"/>
      <c r="D4" s="309"/>
      <c r="E4" s="309"/>
      <c r="F4" s="309"/>
      <c r="G4" s="309"/>
      <c r="H4" s="309"/>
      <c r="I4" s="309"/>
    </row>
    <row r="5" spans="1:9" ht="18.75" customHeight="1" x14ac:dyDescent="0.25">
      <c r="A5" s="309"/>
      <c r="B5" s="309"/>
      <c r="C5" s="309"/>
      <c r="D5" s="309"/>
      <c r="E5" s="309"/>
      <c r="F5" s="309"/>
      <c r="G5" s="309"/>
      <c r="H5" s="309"/>
      <c r="I5" s="309"/>
    </row>
    <row r="6" spans="1:9" ht="18.75" customHeight="1" x14ac:dyDescent="0.25">
      <c r="A6" s="309"/>
      <c r="B6" s="309"/>
      <c r="C6" s="309"/>
      <c r="D6" s="309"/>
      <c r="E6" s="309"/>
      <c r="F6" s="309"/>
      <c r="G6" s="309"/>
      <c r="H6" s="309"/>
      <c r="I6" s="309"/>
    </row>
    <row r="7" spans="1:9" ht="18.75" customHeight="1" x14ac:dyDescent="0.25">
      <c r="A7" s="309"/>
      <c r="B7" s="309"/>
      <c r="C7" s="309"/>
      <c r="D7" s="309"/>
      <c r="E7" s="309"/>
      <c r="F7" s="309"/>
      <c r="G7" s="309"/>
      <c r="H7" s="309"/>
      <c r="I7" s="309"/>
    </row>
    <row r="8" spans="1:9" x14ac:dyDescent="0.25">
      <c r="A8" s="310" t="s">
        <v>41</v>
      </c>
      <c r="B8" s="310"/>
      <c r="C8" s="310"/>
      <c r="D8" s="310"/>
      <c r="E8" s="310"/>
      <c r="F8" s="310"/>
      <c r="G8" s="310"/>
      <c r="H8" s="310"/>
      <c r="I8" s="310"/>
    </row>
    <row r="9" spans="1:9" x14ac:dyDescent="0.25">
      <c r="A9" s="310"/>
      <c r="B9" s="310"/>
      <c r="C9" s="310"/>
      <c r="D9" s="310"/>
      <c r="E9" s="310"/>
      <c r="F9" s="310"/>
      <c r="G9" s="310"/>
      <c r="H9" s="310"/>
      <c r="I9" s="310"/>
    </row>
    <row r="10" spans="1:9" x14ac:dyDescent="0.25">
      <c r="A10" s="310"/>
      <c r="B10" s="310"/>
      <c r="C10" s="310"/>
      <c r="D10" s="310"/>
      <c r="E10" s="310"/>
      <c r="F10" s="310"/>
      <c r="G10" s="310"/>
      <c r="H10" s="310"/>
      <c r="I10" s="310"/>
    </row>
    <row r="11" spans="1:9" x14ac:dyDescent="0.25">
      <c r="A11" s="310"/>
      <c r="B11" s="310"/>
      <c r="C11" s="310"/>
      <c r="D11" s="310"/>
      <c r="E11" s="310"/>
      <c r="F11" s="310"/>
      <c r="G11" s="310"/>
      <c r="H11" s="310"/>
      <c r="I11" s="310"/>
    </row>
    <row r="12" spans="1:9" x14ac:dyDescent="0.25">
      <c r="A12" s="310"/>
      <c r="B12" s="310"/>
      <c r="C12" s="310"/>
      <c r="D12" s="310"/>
      <c r="E12" s="310"/>
      <c r="F12" s="310"/>
      <c r="G12" s="310"/>
      <c r="H12" s="310"/>
      <c r="I12" s="310"/>
    </row>
    <row r="13" spans="1:9" x14ac:dyDescent="0.25">
      <c r="A13" s="310"/>
      <c r="B13" s="310"/>
      <c r="C13" s="310"/>
      <c r="D13" s="310"/>
      <c r="E13" s="310"/>
      <c r="F13" s="310"/>
      <c r="G13" s="310"/>
      <c r="H13" s="310"/>
      <c r="I13" s="310"/>
    </row>
    <row r="14" spans="1:9" x14ac:dyDescent="0.25">
      <c r="A14" s="310"/>
      <c r="B14" s="310"/>
      <c r="C14" s="310"/>
      <c r="D14" s="310"/>
      <c r="E14" s="310"/>
      <c r="F14" s="310"/>
      <c r="G14" s="310"/>
      <c r="H14" s="310"/>
      <c r="I14" s="310"/>
    </row>
    <row r="15" spans="1:9" ht="19.5" customHeight="1" thickBot="1" x14ac:dyDescent="0.35">
      <c r="A15" s="204"/>
    </row>
    <row r="16" spans="1:9" ht="19.5" customHeight="1" thickBot="1" x14ac:dyDescent="0.35">
      <c r="A16" s="342" t="s">
        <v>26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45" t="s">
        <v>42</v>
      </c>
      <c r="B17" s="345"/>
      <c r="C17" s="345"/>
      <c r="D17" s="345"/>
      <c r="E17" s="345"/>
      <c r="F17" s="345"/>
      <c r="G17" s="345"/>
      <c r="H17" s="345"/>
    </row>
    <row r="18" spans="1:14" ht="26.25" customHeight="1" x14ac:dyDescent="0.4">
      <c r="A18" s="99" t="s">
        <v>28</v>
      </c>
      <c r="B18" s="341" t="s">
        <v>121</v>
      </c>
      <c r="C18" s="341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NDQD201508230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6" t="s">
        <v>124</v>
      </c>
      <c r="C20" s="346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6" t="str">
        <f>Uniformity!C17</f>
        <v xml:space="preserve">Each white tablet contains Artesunate 50 mg </v>
      </c>
      <c r="C21" s="346"/>
      <c r="D21" s="346"/>
      <c r="E21" s="346"/>
      <c r="F21" s="346"/>
      <c r="G21" s="346"/>
      <c r="H21" s="346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1" t="s">
        <v>124</v>
      </c>
      <c r="C26" s="341"/>
    </row>
    <row r="27" spans="1:14" ht="26.25" customHeight="1" x14ac:dyDescent="0.4">
      <c r="A27" s="214" t="s">
        <v>43</v>
      </c>
      <c r="B27" s="338" t="s">
        <v>127</v>
      </c>
      <c r="C27" s="338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7" t="s">
        <v>45</v>
      </c>
      <c r="D29" s="318"/>
      <c r="E29" s="318"/>
      <c r="F29" s="318"/>
      <c r="G29" s="319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8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20" t="s">
        <v>48</v>
      </c>
      <c r="D31" s="321"/>
      <c r="E31" s="321"/>
      <c r="F31" s="321"/>
      <c r="G31" s="321"/>
      <c r="H31" s="322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20" t="s">
        <v>50</v>
      </c>
      <c r="D32" s="321"/>
      <c r="E32" s="321"/>
      <c r="F32" s="321"/>
      <c r="G32" s="321"/>
      <c r="H32" s="322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3" t="s">
        <v>54</v>
      </c>
      <c r="E36" s="340"/>
      <c r="F36" s="323" t="s">
        <v>55</v>
      </c>
      <c r="G36" s="324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3182882</v>
      </c>
      <c r="E38" s="132">
        <f>IF(ISBLANK(D38),"-",$D$48/$D$45*D38)</f>
        <v>2929907.8927262323</v>
      </c>
      <c r="F38" s="131">
        <v>3653857</v>
      </c>
      <c r="G38" s="133">
        <f>IF(ISBLANK(F38),"-",$D$48/$F$45*F38)</f>
        <v>2934301.6747214552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3186011</v>
      </c>
      <c r="E39" s="137">
        <f>IF(ISBLANK(D39),"-",$D$48/$D$45*D39)</f>
        <v>2932788.2011373956</v>
      </c>
      <c r="F39" s="136">
        <v>3670313</v>
      </c>
      <c r="G39" s="138">
        <f>IF(ISBLANK(F39),"-",$D$48/$F$45*F39)</f>
        <v>2947516.9889385183</v>
      </c>
      <c r="I39" s="325">
        <f>ABS((F43/D43*D42)-F42)/D42</f>
        <v>2.9479397627487371E-3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3193921</v>
      </c>
      <c r="E40" s="137">
        <f>IF(ISBLANK(D40),"-",$D$48/$D$45*D40)</f>
        <v>2940069.5177025287</v>
      </c>
      <c r="F40" s="136">
        <v>3665418</v>
      </c>
      <c r="G40" s="138">
        <f>IF(ISBLANK(F40),"-",$D$48/$F$45*F40)</f>
        <v>2943585.9629849135</v>
      </c>
      <c r="I40" s="325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3187604.6666666665</v>
      </c>
      <c r="E42" s="147">
        <f>AVERAGE(E38:E41)</f>
        <v>2934255.2038553855</v>
      </c>
      <c r="F42" s="146">
        <f>AVERAGE(F38:F41)</f>
        <v>3663196</v>
      </c>
      <c r="G42" s="148">
        <f>AVERAGE(G38:G41)</f>
        <v>2941801.5422149622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21.88</v>
      </c>
      <c r="E43" s="204"/>
      <c r="F43" s="151">
        <v>25.08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21.88</v>
      </c>
      <c r="E44" s="222"/>
      <c r="F44" s="153">
        <f>F43*$B$34</f>
        <v>25.08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21.726839999999996</v>
      </c>
      <c r="E45" s="200"/>
      <c r="F45" s="156">
        <f>F44*$B$30/100</f>
        <v>24.904440000000001</v>
      </c>
      <c r="H45" s="149"/>
    </row>
    <row r="46" spans="1:14" ht="19.5" customHeight="1" thickBot="1" x14ac:dyDescent="0.35">
      <c r="A46" s="311" t="s">
        <v>73</v>
      </c>
      <c r="B46" s="312"/>
      <c r="C46" s="152" t="s">
        <v>74</v>
      </c>
      <c r="D46" s="158">
        <f>D45/$B$45</f>
        <v>4.3453679999999988</v>
      </c>
      <c r="E46" s="159"/>
      <c r="F46" s="160">
        <f>F45/$B$45</f>
        <v>4.9808880000000002</v>
      </c>
      <c r="H46" s="149"/>
    </row>
    <row r="47" spans="1:14" ht="27" customHeight="1" thickBot="1" x14ac:dyDescent="0.45">
      <c r="A47" s="313"/>
      <c r="B47" s="314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2938028.3730351739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2.320360094796769E-3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 xml:space="preserve">Each white tablet contains Artesunate 50 mg </v>
      </c>
    </row>
    <row r="56" spans="1:12" ht="26.25" customHeight="1" x14ac:dyDescent="0.4">
      <c r="A56" s="176" t="s">
        <v>82</v>
      </c>
      <c r="B56" s="177">
        <v>50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347.53399999999999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10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8" t="s">
        <v>89</v>
      </c>
      <c r="D60" s="331">
        <v>299.99</v>
      </c>
      <c r="E60" s="181">
        <v>1</v>
      </c>
      <c r="F60" s="182">
        <v>3142430</v>
      </c>
      <c r="G60" s="271">
        <f>IF(ISBLANK(F60),"-",(F60/$D$50*$D$47*$B$68)*($B$57/$D$60))</f>
        <v>49.563291366076889</v>
      </c>
      <c r="H60" s="183">
        <f>IF(ISBLANK(F60),"-",G60/$B$56)</f>
        <v>0.99126582732153778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9"/>
      <c r="D61" s="332"/>
      <c r="E61" s="184">
        <v>2</v>
      </c>
      <c r="F61" s="136">
        <v>3152326</v>
      </c>
      <c r="G61" s="272">
        <f>IF(ISBLANK(F61),"-",(F61/$D$50*$D$47*$B$68)*($B$57/$D$60))</f>
        <v>49.719373866358097</v>
      </c>
      <c r="H61" s="185">
        <f t="shared" ref="H61:H71" si="0">IF(ISBLANK(F61),"-",G61/$B$56)</f>
        <v>0.99438747732716193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9"/>
      <c r="D62" s="332"/>
      <c r="E62" s="184">
        <v>3</v>
      </c>
      <c r="F62" s="186">
        <v>3163041</v>
      </c>
      <c r="G62" s="272">
        <f>IF(ISBLANK(F62),"-",(F62/$D$50*$D$47*$B$68)*($B$57/$D$60))</f>
        <v>49.888373865399451</v>
      </c>
      <c r="H62" s="185">
        <f t="shared" si="0"/>
        <v>0.99776747730798898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9"/>
      <c r="D63" s="333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8" t="s">
        <v>94</v>
      </c>
      <c r="D64" s="331">
        <v>298.93</v>
      </c>
      <c r="E64" s="181">
        <v>1</v>
      </c>
      <c r="F64" s="182">
        <v>3084597</v>
      </c>
      <c r="G64" s="273">
        <f>IF(ISBLANK(F64),"-",(F64/$D$50*$D$47*$B$68)*($B$57/$D$64))</f>
        <v>48.823648972043273</v>
      </c>
      <c r="H64" s="189">
        <f>IF(ISBLANK(F64),"-",G64/$B$56)</f>
        <v>0.97647297944086542</v>
      </c>
    </row>
    <row r="65" spans="1:8" ht="26.25" customHeight="1" x14ac:dyDescent="0.4">
      <c r="A65" s="123" t="s">
        <v>95</v>
      </c>
      <c r="B65" s="124">
        <v>1</v>
      </c>
      <c r="C65" s="329"/>
      <c r="D65" s="332"/>
      <c r="E65" s="184">
        <v>2</v>
      </c>
      <c r="F65" s="136">
        <v>3114043</v>
      </c>
      <c r="G65" s="274">
        <f>IF(ISBLANK(F65),"-",(F65/$D$50*$D$47*$B$68)*($B$57/$D$64))</f>
        <v>49.289726442659621</v>
      </c>
      <c r="H65" s="190">
        <f t="shared" si="0"/>
        <v>0.98579452885319241</v>
      </c>
    </row>
    <row r="66" spans="1:8" ht="26.25" customHeight="1" x14ac:dyDescent="0.4">
      <c r="A66" s="123" t="s">
        <v>96</v>
      </c>
      <c r="B66" s="124">
        <v>1</v>
      </c>
      <c r="C66" s="329"/>
      <c r="D66" s="332"/>
      <c r="E66" s="184">
        <v>3</v>
      </c>
      <c r="F66" s="136">
        <v>3118901</v>
      </c>
      <c r="G66" s="274">
        <f>IF(ISBLANK(F66),"-",(F66/$D$50*$D$47*$B$68)*($B$57/$D$64))</f>
        <v>49.366619886667443</v>
      </c>
      <c r="H66" s="190">
        <f t="shared" si="0"/>
        <v>0.98733239773334891</v>
      </c>
    </row>
    <row r="67" spans="1:8" ht="27" customHeight="1" thickBot="1" x14ac:dyDescent="0.45">
      <c r="A67" s="123" t="s">
        <v>97</v>
      </c>
      <c r="B67" s="124">
        <v>1</v>
      </c>
      <c r="C67" s="339"/>
      <c r="D67" s="333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10</v>
      </c>
      <c r="C68" s="328" t="s">
        <v>99</v>
      </c>
      <c r="D68" s="331">
        <v>279.95999999999998</v>
      </c>
      <c r="E68" s="181">
        <v>1</v>
      </c>
      <c r="F68" s="182">
        <v>2923807</v>
      </c>
      <c r="G68" s="273">
        <f>IF(ISBLANK(F68),"-",(F68/$D$50*$D$47*$B$68)*($B$57/$D$68))</f>
        <v>49.414456323347494</v>
      </c>
      <c r="H68" s="185">
        <f>IF(ISBLANK(F68),"-",G68/$B$56)</f>
        <v>0.98828912646694989</v>
      </c>
    </row>
    <row r="69" spans="1:8" ht="27" customHeight="1" thickBot="1" x14ac:dyDescent="0.45">
      <c r="A69" s="171" t="s">
        <v>100</v>
      </c>
      <c r="B69" s="193">
        <f>(D47*B68)/B56*B57</f>
        <v>278.02719999999999</v>
      </c>
      <c r="C69" s="329"/>
      <c r="D69" s="332"/>
      <c r="E69" s="184">
        <v>2</v>
      </c>
      <c r="F69" s="136">
        <v>2949157</v>
      </c>
      <c r="G69" s="274">
        <f>IF(ISBLANK(F69),"-",(F69/$D$50*$D$47*$B$68)*($B$57/$D$68))</f>
        <v>49.842889687039715</v>
      </c>
      <c r="H69" s="185">
        <f t="shared" si="0"/>
        <v>0.99685779374079431</v>
      </c>
    </row>
    <row r="70" spans="1:8" ht="26.25" customHeight="1" x14ac:dyDescent="0.4">
      <c r="A70" s="334" t="s">
        <v>73</v>
      </c>
      <c r="B70" s="335"/>
      <c r="C70" s="329"/>
      <c r="D70" s="332"/>
      <c r="E70" s="184">
        <v>3</v>
      </c>
      <c r="F70" s="136">
        <v>2972220</v>
      </c>
      <c r="G70" s="274">
        <f>IF(ISBLANK(F70),"-",(F70/$D$50*$D$47*$B$68)*($B$57/$D$68))</f>
        <v>50.232671094015402</v>
      </c>
      <c r="H70" s="185">
        <f t="shared" si="0"/>
        <v>1.004653421880308</v>
      </c>
    </row>
    <row r="71" spans="1:8" ht="27" customHeight="1" thickBot="1" x14ac:dyDescent="0.45">
      <c r="A71" s="336"/>
      <c r="B71" s="337"/>
      <c r="C71" s="330"/>
      <c r="D71" s="333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0.99142455889690539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8.2514014822006737E-3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5" t="str">
        <f>B20</f>
        <v>Artesunate</v>
      </c>
      <c r="D76" s="315"/>
      <c r="E76" s="204" t="s">
        <v>103</v>
      </c>
      <c r="F76" s="204"/>
      <c r="G76" s="205">
        <f>H72</f>
        <v>0.99142455889690539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8" t="str">
        <f>B26</f>
        <v>Artesunate</v>
      </c>
      <c r="C79" s="338"/>
    </row>
    <row r="80" spans="1:8" ht="26.25" customHeight="1" x14ac:dyDescent="0.4">
      <c r="A80" s="214" t="s">
        <v>43</v>
      </c>
      <c r="B80" s="338" t="str">
        <f>B27</f>
        <v>A15 2</v>
      </c>
      <c r="C80" s="338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7" t="s">
        <v>45</v>
      </c>
      <c r="D82" s="318"/>
      <c r="E82" s="318"/>
      <c r="F82" s="318"/>
      <c r="G82" s="319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20" t="s">
        <v>106</v>
      </c>
      <c r="D84" s="321"/>
      <c r="E84" s="321"/>
      <c r="F84" s="321"/>
      <c r="G84" s="321"/>
      <c r="H84" s="322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20" t="s">
        <v>107</v>
      </c>
      <c r="D85" s="321"/>
      <c r="E85" s="321"/>
      <c r="F85" s="321"/>
      <c r="G85" s="321"/>
      <c r="H85" s="322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3" t="s">
        <v>55</v>
      </c>
      <c r="G89" s="324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971735</v>
      </c>
      <c r="E91" s="132">
        <f>IF(ISBLANK(D91),"-",$D$101/$D$98*D91)</f>
        <v>1118127.3945037569</v>
      </c>
      <c r="F91" s="281">
        <v>1126249</v>
      </c>
      <c r="G91" s="133">
        <f>IF(ISBLANK(F91),"-",$D$101/$F$98*F91)</f>
        <v>1130570.4926511096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961876</v>
      </c>
      <c r="E92" s="137">
        <f>IF(ISBLANK(D92),"-",$D$101/$D$98*D92)</f>
        <v>1106783.130910892</v>
      </c>
      <c r="F92" s="282">
        <v>1112255</v>
      </c>
      <c r="G92" s="138">
        <f>IF(ISBLANK(F92),"-",$D$101/$F$98*F92)</f>
        <v>1116522.7967382523</v>
      </c>
      <c r="I92" s="325">
        <f>ABS((F96/D96*D95)-F95)/D95</f>
        <v>8.6013580444531841E-3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970867</v>
      </c>
      <c r="E93" s="137">
        <f>IF(ISBLANK(D93),"-",$D$101/$D$98*D93)</f>
        <v>1117128.6298421677</v>
      </c>
      <c r="F93" s="282">
        <v>1115743</v>
      </c>
      <c r="G93" s="138">
        <f>IF(ISBLANK(F93),"-",$D$101/$F$98*F93)</f>
        <v>1120024.1804272651</v>
      </c>
      <c r="I93" s="325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968159.33333333337</v>
      </c>
      <c r="E95" s="147">
        <f>AVERAGE(E91:E94)</f>
        <v>1114013.0517522723</v>
      </c>
      <c r="F95" s="216">
        <f>AVERAGE(F91:F94)</f>
        <v>1118082.3333333333</v>
      </c>
      <c r="G95" s="217">
        <f>AVERAGE(G91:G94)</f>
        <v>1122372.4899388757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21.88</v>
      </c>
      <c r="E96" s="204"/>
      <c r="F96" s="151">
        <v>25.08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21.88</v>
      </c>
      <c r="E97" s="222"/>
      <c r="F97" s="153">
        <f>F96*$B$87</f>
        <v>25.08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21.726839999999996</v>
      </c>
      <c r="E98" s="200"/>
      <c r="F98" s="156">
        <f>F97*$B$83/100</f>
        <v>24.904440000000001</v>
      </c>
    </row>
    <row r="99" spans="1:10" ht="19.5" customHeight="1" thickBot="1" x14ac:dyDescent="0.35">
      <c r="A99" s="311" t="s">
        <v>73</v>
      </c>
      <c r="B99" s="326"/>
      <c r="C99" s="220" t="s">
        <v>111</v>
      </c>
      <c r="D99" s="224">
        <f>D98/$B$98</f>
        <v>4.3453679999999995E-2</v>
      </c>
      <c r="E99" s="200"/>
      <c r="F99" s="160">
        <f>F98/$B$98</f>
        <v>4.980888E-2</v>
      </c>
      <c r="H99" s="149"/>
    </row>
    <row r="100" spans="1:10" ht="19.5" customHeight="1" thickBot="1" x14ac:dyDescent="0.35">
      <c r="A100" s="313"/>
      <c r="B100" s="327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1118192.7708455739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6.8186201797960349E-3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938126</v>
      </c>
      <c r="E108" s="277">
        <f t="shared" ref="E108:E113" si="1">IF(ISBLANK(D108),"-",D108/$D$103*$D$100*$B$116)</f>
        <v>41.948312690780142</v>
      </c>
      <c r="F108" s="243">
        <f>IF(ISBLANK(D108), "-", E108/$B$56)</f>
        <v>0.83896625381560286</v>
      </c>
    </row>
    <row r="109" spans="1:10" ht="26.25" customHeight="1" x14ac:dyDescent="0.4">
      <c r="A109" s="123" t="s">
        <v>90</v>
      </c>
      <c r="B109" s="124">
        <v>10</v>
      </c>
      <c r="C109" s="241">
        <v>2</v>
      </c>
      <c r="D109" s="242">
        <v>938713</v>
      </c>
      <c r="E109" s="278">
        <f t="shared" si="1"/>
        <v>41.974560401161796</v>
      </c>
      <c r="F109" s="244">
        <f t="shared" ref="F109:F113" si="2">IF(ISBLANK(D109), "-", E109/$B$56)</f>
        <v>0.83949120802323596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930398</v>
      </c>
      <c r="E110" s="278">
        <f t="shared" si="1"/>
        <v>41.602755099929503</v>
      </c>
      <c r="F110" s="244">
        <f>IF(ISBLANK(D110), "-", E110/$B$56)</f>
        <v>0.83205510199859001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930316</v>
      </c>
      <c r="E111" s="278">
        <f t="shared" si="1"/>
        <v>41.59908846917773</v>
      </c>
      <c r="F111" s="244">
        <f t="shared" si="2"/>
        <v>0.83198176938355461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928200</v>
      </c>
      <c r="E112" s="278">
        <f t="shared" si="1"/>
        <v>41.504471509778142</v>
      </c>
      <c r="F112" s="244">
        <f>IF(ISBLANK(D112), "-", E112/$B$56)</f>
        <v>0.83008943019556281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931656</v>
      </c>
      <c r="E113" s="279">
        <f t="shared" si="1"/>
        <v>41.659006581462904</v>
      </c>
      <c r="F113" s="247">
        <f t="shared" si="2"/>
        <v>0.83318013162925808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0.83429398250763398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1000</v>
      </c>
      <c r="C116" s="252"/>
      <c r="D116" s="253"/>
      <c r="E116" s="214" t="s">
        <v>79</v>
      </c>
      <c r="F116" s="254">
        <f>STDEV(F108:F113)/F115</f>
        <v>4.7377761195098837E-3</v>
      </c>
      <c r="I116" s="204"/>
    </row>
    <row r="117" spans="1:10" ht="27" customHeight="1" thickBot="1" x14ac:dyDescent="0.45">
      <c r="A117" s="311" t="s">
        <v>73</v>
      </c>
      <c r="B117" s="312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3"/>
      <c r="B118" s="314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5" t="str">
        <f>B20</f>
        <v>Artesunate</v>
      </c>
      <c r="D120" s="315"/>
      <c r="E120" s="204" t="s">
        <v>119</v>
      </c>
      <c r="F120" s="204"/>
      <c r="G120" s="205">
        <f>F115</f>
        <v>0.83429398250763398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6" t="s">
        <v>21</v>
      </c>
      <c r="C122" s="316"/>
      <c r="E122" s="287" t="s">
        <v>22</v>
      </c>
      <c r="F122" s="261"/>
      <c r="G122" s="316" t="s">
        <v>23</v>
      </c>
      <c r="H122" s="316"/>
    </row>
    <row r="123" spans="1:10" ht="69.95" customHeight="1" x14ac:dyDescent="0.3">
      <c r="A123" s="262" t="s">
        <v>24</v>
      </c>
      <c r="B123" s="213" t="s">
        <v>120</v>
      </c>
      <c r="C123" s="264"/>
      <c r="E123" s="297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SST (AH)</vt:lpstr>
      <vt:lpstr>SST (A)</vt:lpstr>
      <vt:lpstr>Uniformity (2)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2015-12-14T08:30:32Z</cp:lastPrinted>
  <dcterms:created xsi:type="dcterms:W3CDTF">2005-07-05T10:19:27Z</dcterms:created>
  <dcterms:modified xsi:type="dcterms:W3CDTF">2015-12-24T09:19:23Z</dcterms:modified>
</cp:coreProperties>
</file>