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 activeTab="4"/>
  </bookViews>
  <sheets>
    <sheet name="SST (AH)" sheetId="4" r:id="rId1"/>
    <sheet name="SST (A)" sheetId="1" r:id="rId2"/>
    <sheet name="Uniformity" sheetId="2" r:id="rId3"/>
    <sheet name="Amodiaquine HCl" sheetId="3" r:id="rId4"/>
    <sheet name="Artesunate" sheetId="5" r:id="rId5"/>
  </sheets>
  <definedNames>
    <definedName name="_xlnm.Print_Area" localSheetId="3">'Amodiaquine HCl'!$A$1:$I$125</definedName>
    <definedName name="_xlnm.Print_Area" localSheetId="4">Artesunate!$A$1:$I$125</definedName>
    <definedName name="_xlnm.Print_Area" localSheetId="0">'SST (AH)'!$A$1:$G$61</definedName>
    <definedName name="_xlnm.Print_Area" localSheetId="2">Uniformity!$A$1:$H$54</definedName>
  </definedNames>
  <calcPr calcId="144525"/>
</workbook>
</file>

<file path=xl/calcChain.xml><?xml version="1.0" encoding="utf-8"?>
<calcChain xmlns="http://schemas.openxmlformats.org/spreadsheetml/2006/main">
  <c r="B85" i="3" l="1"/>
  <c r="B31" i="3"/>
  <c r="B84" i="3" s="1"/>
  <c r="B116" i="5"/>
  <c r="D100" i="5" s="1"/>
  <c r="B98" i="5"/>
  <c r="F95" i="5"/>
  <c r="D95" i="5"/>
  <c r="E94" i="5"/>
  <c r="B87" i="5"/>
  <c r="F97" i="5" s="1"/>
  <c r="F98" i="5" s="1"/>
  <c r="B81" i="5"/>
  <c r="B83" i="5" s="1"/>
  <c r="B80" i="5"/>
  <c r="B79" i="5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53" i="4"/>
  <c r="E51" i="4"/>
  <c r="D51" i="4"/>
  <c r="C51" i="4"/>
  <c r="B51" i="4"/>
  <c r="B52" i="4" s="1"/>
  <c r="B41" i="4"/>
  <c r="B40" i="4"/>
  <c r="B39" i="4"/>
  <c r="B32" i="4"/>
  <c r="E30" i="4"/>
  <c r="D30" i="4"/>
  <c r="C30" i="4"/>
  <c r="B30" i="4"/>
  <c r="B31" i="4" s="1"/>
  <c r="B21" i="4"/>
  <c r="B42" i="4" s="1"/>
  <c r="B17" i="4"/>
  <c r="B17" i="1"/>
  <c r="B23" i="3"/>
  <c r="B22" i="3"/>
  <c r="B21" i="3"/>
  <c r="B19" i="3"/>
  <c r="F99" i="5" l="1"/>
  <c r="D101" i="5"/>
  <c r="D102" i="5" s="1"/>
  <c r="D46" i="5"/>
  <c r="I92" i="5"/>
  <c r="I39" i="5"/>
  <c r="F45" i="5"/>
  <c r="F46" i="5" s="1"/>
  <c r="G40" i="5"/>
  <c r="E39" i="5"/>
  <c r="D49" i="5"/>
  <c r="E40" i="5"/>
  <c r="G38" i="5"/>
  <c r="E38" i="5"/>
  <c r="C76" i="5"/>
  <c r="D97" i="5"/>
  <c r="D98" i="5" s="1"/>
  <c r="D99" i="5" s="1"/>
  <c r="C56" i="5"/>
  <c r="B21" i="1"/>
  <c r="G91" i="5" l="1"/>
  <c r="E92" i="5"/>
  <c r="G93" i="5"/>
  <c r="G92" i="5"/>
  <c r="E91" i="5"/>
  <c r="E93" i="5"/>
  <c r="G39" i="5"/>
  <c r="D52" i="5" s="1"/>
  <c r="E42" i="5"/>
  <c r="B45" i="3"/>
  <c r="D48" i="3" s="1"/>
  <c r="B87" i="3"/>
  <c r="B34" i="3"/>
  <c r="D44" i="3" s="1"/>
  <c r="B30" i="3"/>
  <c r="B42" i="1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C56" i="3"/>
  <c r="B55" i="3"/>
  <c r="F42" i="3"/>
  <c r="D42" i="3"/>
  <c r="C46" i="2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95" i="5" l="1"/>
  <c r="D105" i="5"/>
  <c r="B57" i="3"/>
  <c r="B69" i="3" s="1"/>
  <c r="B57" i="5"/>
  <c r="B69" i="5" s="1"/>
  <c r="E95" i="5"/>
  <c r="D103" i="5"/>
  <c r="E112" i="5" s="1"/>
  <c r="F112" i="5" s="1"/>
  <c r="D50" i="5"/>
  <c r="D51" i="5" s="1"/>
  <c r="G42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G38" i="3" s="1"/>
  <c r="D45" i="3"/>
  <c r="E38" i="3" s="1"/>
  <c r="D98" i="3"/>
  <c r="E41" i="3"/>
  <c r="D49" i="3"/>
  <c r="E39" i="3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E91" i="3"/>
  <c r="G91" i="3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H74" i="5" l="1"/>
  <c r="H72" i="5"/>
  <c r="G76" i="5" s="1"/>
  <c r="F117" i="5"/>
  <c r="F115" i="5"/>
  <c r="G120" i="5" s="1"/>
  <c r="G95" i="3"/>
  <c r="D103" i="3"/>
  <c r="E111" i="3" s="1"/>
  <c r="F111" i="3" s="1"/>
  <c r="G42" i="3"/>
  <c r="E95" i="3"/>
  <c r="D52" i="3"/>
  <c r="E42" i="3"/>
  <c r="D105" i="3"/>
  <c r="D50" i="3"/>
  <c r="H73" i="5" l="1"/>
  <c r="F116" i="5"/>
  <c r="D104" i="3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H73" i="3" l="1"/>
  <c r="F116" i="3"/>
</calcChain>
</file>

<file path=xl/sharedStrings.xml><?xml version="1.0" encoding="utf-8"?>
<sst xmlns="http://schemas.openxmlformats.org/spreadsheetml/2006/main" count="435" uniqueCount="132">
  <si>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</si>
  <si>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</si>
  <si>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</si>
  <si>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</si>
  <si>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</si>
  <si>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</si>
  <si>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</si>
  <si>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</si>
  <si>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</si>
  <si>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</si>
  <si>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</si>
  <si>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</si>
  <si>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</si>
  <si>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</si>
  <si>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</si>
  <si>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</si>
  <si>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</si>
  <si>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</si>
  <si>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</si>
  <si>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</si>
  <si>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</si>
  <si>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</si>
  <si>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</si>
  <si>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</si>
  <si>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</si>
  <si>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</si>
  <si>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</si>
  <si>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</si>
  <si>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</si>
  <si>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</si>
  <si>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</si>
  <si>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</si>
  <si>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</si>
  <si>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</si>
  <si>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</si>
  <si>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</si>
  <si>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</si>
  <si>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</si>
  <si>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</si>
  <si>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</si>
  <si>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</si>
  <si>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</si>
  <si>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</si>
  <si>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</si>
  <si>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</si>
  <si>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</si>
  <si>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</si>
  <si>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</si>
  <si>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</si>
  <si>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</si>
  <si>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</si>
  <si>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</si>
  <si>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</si>
  <si>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</si>
  <si>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</si>
  <si>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</si>
  <si>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</si>
  <si>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</si>
  <si>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</si>
  <si>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</si>
  <si>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</si>
  <si>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</si>
  <si>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</si>
  <si>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</si>
  <si>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</si>
  <si>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</si>
  <si>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</si>
  <si>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</si>
  <si>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</si>
  <si>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</si>
  <si>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</si>
  <si>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</si>
  <si>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</si>
  <si>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</si>
  <si>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</si>
  <si>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</si>
  <si>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</si>
  <si>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</si>
  <si>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</si>
  <si>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</si>
  <si>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</si>
  <si>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</si>
  <si>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</si>
  <si>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</si>
  <si>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</si>
  <si>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</si>
  <si>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</si>
  <si>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</si>
  <si>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</si>
  <si>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</si>
  <si>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</si>
  <si>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</si>
  <si>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</si>
  <si>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</si>
  <si>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</si>
  <si>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</si>
  <si>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</si>
  <si>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</si>
  <si>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</si>
  <si>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</si>
  <si>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</si>
  <si>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</si>
  <si>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</si>
  <si>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</si>
  <si>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</si>
  <si>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</si>
  <si>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</si>
  <si>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</si>
  <si>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</si>
  <si>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</si>
  <si>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</si>
  <si>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</si>
  <si>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</si>
  <si>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</si>
  <si>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</si>
  <si>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</si>
  <si>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</si>
  <si>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</si>
  <si>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</si>
  <si>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</si>
  <si>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</si>
  <si>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</si>
  <si>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</si>
  <si>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</si>
  <si>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</si>
  <si>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Amodiaquine HCl</t>
  </si>
  <si>
    <t>A7 1</t>
  </si>
  <si>
    <t>A15 2</t>
  </si>
  <si>
    <t>Amodiaquine</t>
  </si>
  <si>
    <t>Each bilayered tablet contains Artesunate 25 mg &amp; Amodiaquine HCl 67.5mg</t>
  </si>
  <si>
    <t xml:space="preserve"> </t>
  </si>
  <si>
    <t>NDQD201508231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</si>
</sst>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43" zoomScale="80" zoomScaleNormal="100" zoomScaleSheetLayoutView="80" workbookViewId="0">
      <selection activeCell="B45" sqref="B45:E50"/>
    </sheetView>
  </sheetViews>
  <sheetFormatPr defaultRowHeight="13.5" x14ac:dyDescent="0.25"/>
  <cols>
    <col min="1" max="1" width="33" style="225" customWidth="1"/>
    <col min="2" max="2" width="24.710937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tr">
        <f>Uniformity!C14</f>
        <v>Arteunate &amp; Amodiaquine Tablets</v>
      </c>
      <c r="D17" s="9"/>
      <c r="E17" s="71"/>
    </row>
    <row r="18" spans="1:5" ht="16.5" customHeight="1" x14ac:dyDescent="0.3">
      <c r="A18" s="74" t="s">
        <v>4</v>
      </c>
      <c r="B18" s="12" t="s">
        <v>125</v>
      </c>
      <c r="C18" s="71"/>
      <c r="D18" s="71"/>
      <c r="E18" s="71"/>
    </row>
    <row r="19" spans="1:5" ht="16.5" customHeight="1" x14ac:dyDescent="0.3">
      <c r="A19" s="74" t="s">
        <v>5</v>
      </c>
      <c r="B19" s="12">
        <v>99.9</v>
      </c>
      <c r="C19" s="71"/>
      <c r="D19" s="71"/>
      <c r="E19" s="71"/>
    </row>
    <row r="20" spans="1:5" ht="16.5" customHeight="1" x14ac:dyDescent="0.3">
      <c r="A20" s="8" t="s">
        <v>6</v>
      </c>
      <c r="B20" s="9">
        <v>27.22</v>
      </c>
      <c r="C20" s="71"/>
      <c r="D20" s="71"/>
      <c r="E20" s="71"/>
    </row>
    <row r="21" spans="1:5" ht="16.5" customHeight="1" x14ac:dyDescent="0.3">
      <c r="A21" s="8" t="s">
        <v>7</v>
      </c>
      <c r="B21" s="13">
        <f>B20/10*1/25</f>
        <v>0.10888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28538614</v>
      </c>
      <c r="C24" s="18">
        <v>2781.5</v>
      </c>
      <c r="D24" s="19">
        <v>1.8</v>
      </c>
      <c r="E24" s="20">
        <v>2</v>
      </c>
    </row>
    <row r="25" spans="1:5" ht="16.5" customHeight="1" x14ac:dyDescent="0.3">
      <c r="A25" s="17">
        <v>2</v>
      </c>
      <c r="B25" s="18">
        <v>28467114</v>
      </c>
      <c r="C25" s="18">
        <v>2778.4</v>
      </c>
      <c r="D25" s="19">
        <v>1.8</v>
      </c>
      <c r="E25" s="19">
        <v>2</v>
      </c>
    </row>
    <row r="26" spans="1:5" ht="16.5" customHeight="1" x14ac:dyDescent="0.3">
      <c r="A26" s="17">
        <v>3</v>
      </c>
      <c r="B26" s="18">
        <v>28341520</v>
      </c>
      <c r="C26" s="18">
        <v>2868.8</v>
      </c>
      <c r="D26" s="19">
        <v>1.8</v>
      </c>
      <c r="E26" s="19">
        <v>2</v>
      </c>
    </row>
    <row r="27" spans="1:5" ht="16.5" customHeight="1" x14ac:dyDescent="0.3">
      <c r="A27" s="17">
        <v>4</v>
      </c>
      <c r="B27" s="18">
        <v>28600874</v>
      </c>
      <c r="C27" s="18">
        <v>2855.3</v>
      </c>
      <c r="D27" s="19">
        <v>1.9</v>
      </c>
      <c r="E27" s="19">
        <v>2</v>
      </c>
    </row>
    <row r="28" spans="1:5" ht="16.5" customHeight="1" x14ac:dyDescent="0.3">
      <c r="A28" s="17">
        <v>5</v>
      </c>
      <c r="B28" s="18">
        <v>28809169</v>
      </c>
      <c r="C28" s="18">
        <v>2876.3</v>
      </c>
      <c r="D28" s="19">
        <v>1.8</v>
      </c>
      <c r="E28" s="19">
        <v>2</v>
      </c>
    </row>
    <row r="29" spans="1:5" ht="16.5" customHeight="1" x14ac:dyDescent="0.3">
      <c r="A29" s="17">
        <v>6</v>
      </c>
      <c r="B29" s="21">
        <v>28512796</v>
      </c>
      <c r="C29" s="21">
        <v>2883.1</v>
      </c>
      <c r="D29" s="22">
        <v>1.8</v>
      </c>
      <c r="E29" s="22">
        <v>2</v>
      </c>
    </row>
    <row r="30" spans="1:5" ht="16.5" customHeight="1" x14ac:dyDescent="0.3">
      <c r="A30" s="23" t="s">
        <v>13</v>
      </c>
      <c r="B30" s="24">
        <f>AVERAGE(B24:B29)</f>
        <v>28545014.5</v>
      </c>
      <c r="C30" s="25">
        <f>AVERAGE(C24:C29)</f>
        <v>2840.5666666666662</v>
      </c>
      <c r="D30" s="26">
        <f>AVERAGE(D24:D29)</f>
        <v>1.8166666666666671</v>
      </c>
      <c r="E30" s="26">
        <f>AVERAGE(E24:E29)</f>
        <v>2</v>
      </c>
    </row>
    <row r="31" spans="1:5" ht="16.5" customHeight="1" x14ac:dyDescent="0.3">
      <c r="A31" s="27" t="s">
        <v>14</v>
      </c>
      <c r="B31" s="28">
        <f>(STDEV(B24:B29)/B30)</f>
        <v>5.460005881894354E-3</v>
      </c>
      <c r="C31" s="29"/>
      <c r="D31" s="29"/>
      <c r="E31" s="30"/>
    </row>
    <row r="32" spans="1:5" s="225" customFormat="1" ht="16.5" customHeight="1" x14ac:dyDescent="0.3">
      <c r="A32" s="31" t="s">
        <v>15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74"/>
      <c r="B35" s="40" t="s">
        <v>18</v>
      </c>
      <c r="C35" s="39"/>
      <c r="D35" s="39"/>
      <c r="E35" s="39"/>
    </row>
    <row r="36" spans="1:5" ht="16.5" customHeight="1" x14ac:dyDescent="0.3">
      <c r="A36" s="74"/>
      <c r="B36" s="40" t="s">
        <v>19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20</v>
      </c>
    </row>
    <row r="39" spans="1:5" ht="16.5" customHeight="1" x14ac:dyDescent="0.3">
      <c r="A39" s="74" t="s">
        <v>4</v>
      </c>
      <c r="B39" s="280" t="str">
        <f>B18</f>
        <v>Amodiaquine HCl</v>
      </c>
      <c r="C39" s="71"/>
      <c r="D39" s="71"/>
      <c r="E39" s="71"/>
    </row>
    <row r="40" spans="1:5" ht="16.5" customHeight="1" x14ac:dyDescent="0.3">
      <c r="A40" s="74" t="s">
        <v>5</v>
      </c>
      <c r="B40" s="12">
        <f>B19</f>
        <v>99.9</v>
      </c>
      <c r="C40" s="71"/>
      <c r="D40" s="71"/>
      <c r="E40" s="71"/>
    </row>
    <row r="41" spans="1:5" ht="16.5" customHeight="1" x14ac:dyDescent="0.3">
      <c r="A41" s="8" t="s">
        <v>6</v>
      </c>
      <c r="B41" s="12">
        <f>B20</f>
        <v>27.22</v>
      </c>
      <c r="C41" s="71"/>
      <c r="D41" s="71"/>
      <c r="E41" s="71"/>
    </row>
    <row r="42" spans="1:5" ht="16.5" customHeight="1" x14ac:dyDescent="0.3">
      <c r="A42" s="8" t="s">
        <v>7</v>
      </c>
      <c r="B42" s="13">
        <f>B21</f>
        <v>0.10888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>
        <v>28538614</v>
      </c>
      <c r="C45" s="18">
        <v>2781.5</v>
      </c>
      <c r="D45" s="19">
        <v>1.8</v>
      </c>
      <c r="E45" s="20">
        <v>2</v>
      </c>
    </row>
    <row r="46" spans="1:5" ht="16.5" customHeight="1" x14ac:dyDescent="0.3">
      <c r="A46" s="17">
        <v>2</v>
      </c>
      <c r="B46" s="18">
        <v>28467114</v>
      </c>
      <c r="C46" s="18">
        <v>2778.4</v>
      </c>
      <c r="D46" s="19">
        <v>1.8</v>
      </c>
      <c r="E46" s="19">
        <v>2</v>
      </c>
    </row>
    <row r="47" spans="1:5" ht="16.5" customHeight="1" x14ac:dyDescent="0.3">
      <c r="A47" s="17">
        <v>3</v>
      </c>
      <c r="B47" s="18">
        <v>28341520</v>
      </c>
      <c r="C47" s="18">
        <v>2868.8</v>
      </c>
      <c r="D47" s="19">
        <v>1.8</v>
      </c>
      <c r="E47" s="19">
        <v>2</v>
      </c>
    </row>
    <row r="48" spans="1:5" ht="16.5" customHeight="1" x14ac:dyDescent="0.3">
      <c r="A48" s="17">
        <v>4</v>
      </c>
      <c r="B48" s="18">
        <v>28600874</v>
      </c>
      <c r="C48" s="18">
        <v>2855.3</v>
      </c>
      <c r="D48" s="19">
        <v>1.9</v>
      </c>
      <c r="E48" s="19">
        <v>2</v>
      </c>
    </row>
    <row r="49" spans="1:7" ht="16.5" customHeight="1" x14ac:dyDescent="0.3">
      <c r="A49" s="17">
        <v>5</v>
      </c>
      <c r="B49" s="18">
        <v>28809169</v>
      </c>
      <c r="C49" s="18">
        <v>2876.3</v>
      </c>
      <c r="D49" s="19">
        <v>1.8</v>
      </c>
      <c r="E49" s="19">
        <v>2</v>
      </c>
    </row>
    <row r="50" spans="1:7" ht="16.5" customHeight="1" x14ac:dyDescent="0.3">
      <c r="A50" s="17">
        <v>6</v>
      </c>
      <c r="B50" s="21">
        <v>28512796</v>
      </c>
      <c r="C50" s="21">
        <v>2883.1</v>
      </c>
      <c r="D50" s="22">
        <v>1.8</v>
      </c>
      <c r="E50" s="22">
        <v>2</v>
      </c>
    </row>
    <row r="51" spans="1:7" ht="16.5" customHeight="1" x14ac:dyDescent="0.3">
      <c r="A51" s="23" t="s">
        <v>13</v>
      </c>
      <c r="B51" s="24">
        <f>AVERAGE(B45:B50)</f>
        <v>28545014.5</v>
      </c>
      <c r="C51" s="25">
        <f>AVERAGE(C45:C50)</f>
        <v>2840.5666666666662</v>
      </c>
      <c r="D51" s="26">
        <f>AVERAGE(D45:D50)</f>
        <v>1.8166666666666671</v>
      </c>
      <c r="E51" s="26">
        <f>AVERAGE(E45:E50)</f>
        <v>2</v>
      </c>
    </row>
    <row r="52" spans="1:7" ht="16.5" customHeight="1" x14ac:dyDescent="0.3">
      <c r="A52" s="27" t="s">
        <v>14</v>
      </c>
      <c r="B52" s="28">
        <f>(STDEV(B45:B50)/B51)</f>
        <v>5.460005881894354E-3</v>
      </c>
      <c r="C52" s="29"/>
      <c r="D52" s="29"/>
      <c r="E52" s="30"/>
    </row>
    <row r="53" spans="1:7" s="225" customFormat="1" ht="16.5" customHeight="1" x14ac:dyDescent="0.3">
      <c r="A53" s="31" t="s">
        <v>15</v>
      </c>
      <c r="B53" s="32">
        <f>COUNT(B45:B50)</f>
        <v>6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74"/>
      <c r="B56" s="40" t="s">
        <v>18</v>
      </c>
      <c r="C56" s="39"/>
      <c r="D56" s="39"/>
      <c r="E56" s="39"/>
    </row>
    <row r="57" spans="1:7" ht="16.5" customHeight="1" x14ac:dyDescent="0.3">
      <c r="A57" s="74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299" t="s">
        <v>21</v>
      </c>
      <c r="C59" s="299"/>
      <c r="E59" s="285" t="s">
        <v>22</v>
      </c>
      <c r="F59" s="46"/>
      <c r="G59" s="285" t="s">
        <v>23</v>
      </c>
    </row>
    <row r="60" spans="1:7" ht="15" customHeight="1" x14ac:dyDescent="0.3">
      <c r="A60" s="47" t="s">
        <v>24</v>
      </c>
      <c r="B60" s="295" t="s">
        <v>120</v>
      </c>
      <c r="C60" s="49"/>
      <c r="E60" s="292">
        <v>42339</v>
      </c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8" zoomScale="90" zoomScaleNormal="100" zoomScaleSheetLayoutView="90" workbookViewId="0">
      <selection activeCell="B45" sqref="B45:E5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v>27.22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B20/10*1/25</f>
        <v>0.10888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3343174</v>
      </c>
      <c r="C24" s="18">
        <v>8183</v>
      </c>
      <c r="D24" s="19">
        <v>1</v>
      </c>
      <c r="E24" s="20">
        <v>8.1999999999999993</v>
      </c>
    </row>
    <row r="25" spans="1:6" ht="16.5" customHeight="1" x14ac:dyDescent="0.3">
      <c r="A25" s="17">
        <v>2</v>
      </c>
      <c r="B25" s="18">
        <v>3347139</v>
      </c>
      <c r="C25" s="18">
        <v>8177.6</v>
      </c>
      <c r="D25" s="19">
        <v>1</v>
      </c>
      <c r="E25" s="19">
        <v>8.1999999999999993</v>
      </c>
    </row>
    <row r="26" spans="1:6" ht="16.5" customHeight="1" x14ac:dyDescent="0.3">
      <c r="A26" s="17">
        <v>3</v>
      </c>
      <c r="B26" s="18">
        <v>3354260</v>
      </c>
      <c r="C26" s="18">
        <v>8219</v>
      </c>
      <c r="D26" s="19">
        <v>1</v>
      </c>
      <c r="E26" s="19">
        <v>8.1999999999999993</v>
      </c>
    </row>
    <row r="27" spans="1:6" ht="16.5" customHeight="1" x14ac:dyDescent="0.3">
      <c r="A27" s="17">
        <v>4</v>
      </c>
      <c r="B27" s="18">
        <v>3352541</v>
      </c>
      <c r="C27" s="18">
        <v>8244.6</v>
      </c>
      <c r="D27" s="19">
        <v>1</v>
      </c>
      <c r="E27" s="19">
        <v>8.1999999999999993</v>
      </c>
    </row>
    <row r="28" spans="1:6" ht="16.5" customHeight="1" x14ac:dyDescent="0.3">
      <c r="A28" s="17">
        <v>5</v>
      </c>
      <c r="B28" s="18">
        <v>3353202</v>
      </c>
      <c r="C28" s="18">
        <v>8234.4</v>
      </c>
      <c r="D28" s="19">
        <v>1</v>
      </c>
      <c r="E28" s="19">
        <v>8.1999999999999993</v>
      </c>
    </row>
    <row r="29" spans="1:6" ht="16.5" customHeight="1" x14ac:dyDescent="0.3">
      <c r="A29" s="17">
        <v>6</v>
      </c>
      <c r="B29" s="21">
        <v>3351001</v>
      </c>
      <c r="C29" s="21">
        <v>8229.4</v>
      </c>
      <c r="D29" s="22">
        <v>1</v>
      </c>
      <c r="E29" s="22">
        <v>8.1999999999999993</v>
      </c>
    </row>
    <row r="30" spans="1:6" ht="16.5" customHeight="1" x14ac:dyDescent="0.3">
      <c r="A30" s="23" t="s">
        <v>13</v>
      </c>
      <c r="B30" s="24">
        <f>AVERAGE(B24:B29)</f>
        <v>3350219.5</v>
      </c>
      <c r="C30" s="25">
        <f>AVERAGE(C24:C29)</f>
        <v>8214.6666666666661</v>
      </c>
      <c r="D30" s="26">
        <f>AVERAGE(D24:D29)</f>
        <v>1</v>
      </c>
      <c r="E30" s="26">
        <f>AVERAGE(E24:E29)</f>
        <v>8.2000000000000011</v>
      </c>
    </row>
    <row r="31" spans="1:6" ht="16.5" customHeight="1" x14ac:dyDescent="0.3">
      <c r="A31" s="27" t="s">
        <v>14</v>
      </c>
      <c r="B31" s="28">
        <f>(STDEV(B24:B29)/B30)</f>
        <v>1.2688341426081477E-3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80" t="str">
        <f>B18</f>
        <v>Artesunate</v>
      </c>
      <c r="C39" s="10"/>
      <c r="D39" s="10"/>
      <c r="E39" s="10"/>
    </row>
    <row r="40" spans="1:6" ht="16.5" customHeight="1" x14ac:dyDescent="0.3">
      <c r="A40" s="11" t="s">
        <v>5</v>
      </c>
      <c r="B40" s="12">
        <f>B19</f>
        <v>99.3</v>
      </c>
      <c r="C40" s="10"/>
      <c r="D40" s="10"/>
      <c r="E40" s="10"/>
    </row>
    <row r="41" spans="1:6" ht="16.5" customHeight="1" x14ac:dyDescent="0.3">
      <c r="A41" s="7" t="s">
        <v>6</v>
      </c>
      <c r="B41" s="12">
        <f>B20</f>
        <v>27.22</v>
      </c>
      <c r="C41" s="10"/>
      <c r="D41" s="10"/>
      <c r="E41" s="10"/>
    </row>
    <row r="42" spans="1:6" ht="16.5" customHeight="1" x14ac:dyDescent="0.3">
      <c r="A42" s="7" t="s">
        <v>7</v>
      </c>
      <c r="B42" s="13">
        <f>B21</f>
        <v>0.10888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>
        <v>3343174</v>
      </c>
      <c r="C45" s="18">
        <v>8183</v>
      </c>
      <c r="D45" s="19">
        <v>1</v>
      </c>
      <c r="E45" s="20">
        <v>8.1999999999999993</v>
      </c>
    </row>
    <row r="46" spans="1:6" ht="16.5" customHeight="1" x14ac:dyDescent="0.3">
      <c r="A46" s="17">
        <v>2</v>
      </c>
      <c r="B46" s="18">
        <v>3347139</v>
      </c>
      <c r="C46" s="18">
        <v>8177.6</v>
      </c>
      <c r="D46" s="19">
        <v>1</v>
      </c>
      <c r="E46" s="19">
        <v>8.1999999999999993</v>
      </c>
    </row>
    <row r="47" spans="1:6" ht="16.5" customHeight="1" x14ac:dyDescent="0.3">
      <c r="A47" s="17">
        <v>3</v>
      </c>
      <c r="B47" s="18">
        <v>3354260</v>
      </c>
      <c r="C47" s="18">
        <v>8219</v>
      </c>
      <c r="D47" s="19">
        <v>1</v>
      </c>
      <c r="E47" s="19">
        <v>8.1999999999999993</v>
      </c>
    </row>
    <row r="48" spans="1:6" ht="16.5" customHeight="1" x14ac:dyDescent="0.3">
      <c r="A48" s="17">
        <v>4</v>
      </c>
      <c r="B48" s="18">
        <v>3352541</v>
      </c>
      <c r="C48" s="18">
        <v>8244.6</v>
      </c>
      <c r="D48" s="19">
        <v>1</v>
      </c>
      <c r="E48" s="19">
        <v>8.1999999999999993</v>
      </c>
    </row>
    <row r="49" spans="1:7" ht="16.5" customHeight="1" x14ac:dyDescent="0.3">
      <c r="A49" s="17">
        <v>5</v>
      </c>
      <c r="B49" s="18">
        <v>3353202</v>
      </c>
      <c r="C49" s="18">
        <v>8234.4</v>
      </c>
      <c r="D49" s="19">
        <v>1</v>
      </c>
      <c r="E49" s="19">
        <v>8.1999999999999993</v>
      </c>
    </row>
    <row r="50" spans="1:7" ht="16.5" customHeight="1" x14ac:dyDescent="0.3">
      <c r="A50" s="17">
        <v>6</v>
      </c>
      <c r="B50" s="21">
        <v>3351001</v>
      </c>
      <c r="C50" s="21">
        <v>8229.4</v>
      </c>
      <c r="D50" s="22">
        <v>1</v>
      </c>
      <c r="E50" s="22">
        <v>8.1999999999999993</v>
      </c>
    </row>
    <row r="51" spans="1:7" ht="16.5" customHeight="1" x14ac:dyDescent="0.3">
      <c r="A51" s="23" t="s">
        <v>13</v>
      </c>
      <c r="B51" s="24">
        <f>AVERAGE(B45:B50)</f>
        <v>3350219.5</v>
      </c>
      <c r="C51" s="25">
        <f>AVERAGE(C45:C50)</f>
        <v>8214.6666666666661</v>
      </c>
      <c r="D51" s="26">
        <f>AVERAGE(D45:D50)</f>
        <v>1</v>
      </c>
      <c r="E51" s="26">
        <f>AVERAGE(E45:E50)</f>
        <v>8.2000000000000011</v>
      </c>
    </row>
    <row r="52" spans="1:7" ht="16.5" customHeight="1" x14ac:dyDescent="0.3">
      <c r="A52" s="27" t="s">
        <v>14</v>
      </c>
      <c r="B52" s="28">
        <f>(STDEV(B45:B50)/B51)</f>
        <v>1.2688341426081477E-3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99" t="s">
        <v>21</v>
      </c>
      <c r="C59" s="29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95" t="s">
        <v>120</v>
      </c>
      <c r="C60" s="48"/>
      <c r="E60" s="292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3" t="s">
        <v>26</v>
      </c>
      <c r="B11" s="304"/>
      <c r="C11" s="304"/>
      <c r="D11" s="304"/>
      <c r="E11" s="304"/>
      <c r="F11" s="305"/>
      <c r="G11" s="90"/>
    </row>
    <row r="12" spans="1:7" ht="16.5" customHeight="1" x14ac:dyDescent="0.3">
      <c r="A12" s="302" t="s">
        <v>27</v>
      </c>
      <c r="B12" s="302"/>
      <c r="C12" s="302"/>
      <c r="D12" s="302"/>
      <c r="E12" s="302"/>
      <c r="F12" s="302"/>
      <c r="G12" s="89"/>
    </row>
    <row r="14" spans="1:7" ht="16.5" customHeight="1" x14ac:dyDescent="0.3">
      <c r="A14" s="307" t="s">
        <v>28</v>
      </c>
      <c r="B14" s="307"/>
      <c r="C14" s="60" t="s">
        <v>122</v>
      </c>
    </row>
    <row r="15" spans="1:7" ht="16.5" customHeight="1" x14ac:dyDescent="0.3">
      <c r="A15" s="307" t="s">
        <v>29</v>
      </c>
      <c r="B15" s="307"/>
      <c r="C15" s="60" t="s">
        <v>131</v>
      </c>
    </row>
    <row r="16" spans="1:7" ht="16.5" customHeight="1" x14ac:dyDescent="0.3">
      <c r="A16" s="307" t="s">
        <v>30</v>
      </c>
      <c r="B16" s="307"/>
      <c r="C16" s="60" t="s">
        <v>123</v>
      </c>
    </row>
    <row r="17" spans="1:5" ht="16.5" customHeight="1" x14ac:dyDescent="0.3">
      <c r="A17" s="307" t="s">
        <v>31</v>
      </c>
      <c r="B17" s="307"/>
      <c r="C17" s="60" t="s">
        <v>129</v>
      </c>
    </row>
    <row r="18" spans="1:5" ht="16.5" customHeight="1" x14ac:dyDescent="0.3">
      <c r="A18" s="307" t="s">
        <v>32</v>
      </c>
      <c r="B18" s="307"/>
      <c r="C18" s="96">
        <v>42312</v>
      </c>
    </row>
    <row r="19" spans="1:5" ht="16.5" customHeight="1" x14ac:dyDescent="0.3">
      <c r="A19" s="307" t="s">
        <v>33</v>
      </c>
      <c r="B19" s="307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302" t="s">
        <v>1</v>
      </c>
      <c r="B21" s="302"/>
      <c r="C21" s="59" t="s">
        <v>34</v>
      </c>
      <c r="D21" s="66"/>
    </row>
    <row r="22" spans="1:5" ht="15.75" customHeight="1" x14ac:dyDescent="0.3">
      <c r="A22" s="306"/>
      <c r="B22" s="306"/>
      <c r="C22" s="57"/>
      <c r="D22" s="306"/>
      <c r="E22" s="306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176.63</v>
      </c>
      <c r="D24" s="86">
        <f t="shared" ref="D24:D43" si="0">(C24-$C$46)/$C$46</f>
        <v>-3.5962598897149524E-3</v>
      </c>
      <c r="E24" s="53"/>
    </row>
    <row r="25" spans="1:5" ht="15.75" customHeight="1" x14ac:dyDescent="0.3">
      <c r="C25" s="94">
        <v>178.72</v>
      </c>
      <c r="D25" s="87">
        <f t="shared" si="0"/>
        <v>8.1938313565654026E-3</v>
      </c>
      <c r="E25" s="53"/>
    </row>
    <row r="26" spans="1:5" ht="15.75" customHeight="1" x14ac:dyDescent="0.3">
      <c r="C26" s="94">
        <v>175.5</v>
      </c>
      <c r="D26" s="87">
        <f t="shared" si="0"/>
        <v>-9.9708068314837209E-3</v>
      </c>
      <c r="E26" s="53"/>
    </row>
    <row r="27" spans="1:5" ht="15.75" customHeight="1" x14ac:dyDescent="0.3">
      <c r="C27" s="94">
        <v>176.61</v>
      </c>
      <c r="D27" s="87">
        <f t="shared" si="0"/>
        <v>-3.7090837293921736E-3</v>
      </c>
      <c r="E27" s="53"/>
    </row>
    <row r="28" spans="1:5" ht="15.75" customHeight="1" x14ac:dyDescent="0.3">
      <c r="C28" s="94">
        <v>177.53</v>
      </c>
      <c r="D28" s="87">
        <f t="shared" si="0"/>
        <v>1.4808128957646504E-3</v>
      </c>
      <c r="E28" s="53"/>
    </row>
    <row r="29" spans="1:5" ht="15.75" customHeight="1" x14ac:dyDescent="0.3">
      <c r="C29" s="94">
        <v>178.75</v>
      </c>
      <c r="D29" s="87">
        <f t="shared" si="0"/>
        <v>8.3630671160813946E-3</v>
      </c>
      <c r="E29" s="53"/>
    </row>
    <row r="30" spans="1:5" ht="15.75" customHeight="1" x14ac:dyDescent="0.3">
      <c r="C30" s="94">
        <v>177.79</v>
      </c>
      <c r="D30" s="87">
        <f t="shared" si="0"/>
        <v>2.9475228115698085E-3</v>
      </c>
      <c r="E30" s="53"/>
    </row>
    <row r="31" spans="1:5" ht="15.75" customHeight="1" x14ac:dyDescent="0.3">
      <c r="C31" s="94">
        <v>173.82</v>
      </c>
      <c r="D31" s="87">
        <f t="shared" si="0"/>
        <v>-1.944800936437896E-2</v>
      </c>
      <c r="E31" s="53"/>
    </row>
    <row r="32" spans="1:5" ht="15.75" customHeight="1" x14ac:dyDescent="0.3">
      <c r="C32" s="94">
        <v>179.19</v>
      </c>
      <c r="D32" s="87">
        <f t="shared" si="0"/>
        <v>1.0845191588982506E-2</v>
      </c>
      <c r="E32" s="53"/>
    </row>
    <row r="33" spans="1:7" ht="15.75" customHeight="1" x14ac:dyDescent="0.3">
      <c r="C33" s="94">
        <v>176.64</v>
      </c>
      <c r="D33" s="87">
        <f t="shared" si="0"/>
        <v>-3.5398479698763416E-3</v>
      </c>
      <c r="E33" s="53"/>
    </row>
    <row r="34" spans="1:7" ht="15.75" customHeight="1" x14ac:dyDescent="0.3">
      <c r="C34" s="94">
        <v>175.86</v>
      </c>
      <c r="D34" s="87">
        <f t="shared" si="0"/>
        <v>-7.9399777172918153E-3</v>
      </c>
      <c r="E34" s="53"/>
    </row>
    <row r="35" spans="1:7" ht="15.75" customHeight="1" x14ac:dyDescent="0.3">
      <c r="C35" s="94">
        <v>180.59</v>
      </c>
      <c r="D35" s="87">
        <f t="shared" si="0"/>
        <v>1.8742860366395202E-2</v>
      </c>
      <c r="E35" s="53"/>
    </row>
    <row r="36" spans="1:7" ht="15.75" customHeight="1" x14ac:dyDescent="0.3">
      <c r="C36" s="94">
        <v>178.88</v>
      </c>
      <c r="D36" s="87">
        <f t="shared" si="0"/>
        <v>9.096422073983975E-3</v>
      </c>
      <c r="E36" s="53"/>
    </row>
    <row r="37" spans="1:7" ht="15.75" customHeight="1" x14ac:dyDescent="0.3">
      <c r="C37" s="94">
        <v>177.03</v>
      </c>
      <c r="D37" s="87">
        <f t="shared" si="0"/>
        <v>-1.3397830961684445E-3</v>
      </c>
      <c r="E37" s="53"/>
    </row>
    <row r="38" spans="1:7" ht="15.75" customHeight="1" x14ac:dyDescent="0.3">
      <c r="C38" s="94">
        <v>176.34</v>
      </c>
      <c r="D38" s="87">
        <f t="shared" si="0"/>
        <v>-5.2322055650361023E-3</v>
      </c>
      <c r="E38" s="53"/>
    </row>
    <row r="39" spans="1:7" ht="15.75" customHeight="1" x14ac:dyDescent="0.3">
      <c r="C39" s="94">
        <v>177.02</v>
      </c>
      <c r="D39" s="87">
        <f t="shared" si="0"/>
        <v>-1.3961950160070551E-3</v>
      </c>
      <c r="E39" s="53"/>
    </row>
    <row r="40" spans="1:7" ht="15.75" customHeight="1" x14ac:dyDescent="0.3">
      <c r="C40" s="94">
        <v>177.03</v>
      </c>
      <c r="D40" s="87">
        <f t="shared" si="0"/>
        <v>-1.3397830961684445E-3</v>
      </c>
      <c r="E40" s="53"/>
    </row>
    <row r="41" spans="1:7" ht="15.75" customHeight="1" x14ac:dyDescent="0.3">
      <c r="C41" s="94">
        <v>178.84</v>
      </c>
      <c r="D41" s="87">
        <f t="shared" si="0"/>
        <v>8.8707743946293723E-3</v>
      </c>
      <c r="E41" s="53"/>
    </row>
    <row r="42" spans="1:7" ht="15.75" customHeight="1" x14ac:dyDescent="0.3">
      <c r="C42" s="94">
        <v>175.02</v>
      </c>
      <c r="D42" s="87">
        <f t="shared" si="0"/>
        <v>-1.2678578983739435E-2</v>
      </c>
      <c r="E42" s="53"/>
    </row>
    <row r="43" spans="1:7" ht="16.5" customHeight="1" x14ac:dyDescent="0.3">
      <c r="C43" s="95">
        <v>177.56</v>
      </c>
      <c r="D43" s="88">
        <f t="shared" si="0"/>
        <v>1.6500486552806423E-3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3545.3500000000008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177.26750000000004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300">
        <f>C46</f>
        <v>177.26750000000004</v>
      </c>
      <c r="C49" s="92">
        <f>-IF(C46&lt;=80,10%,IF(C46&lt;250,7.5%,5%))</f>
        <v>-7.4999999999999997E-2</v>
      </c>
      <c r="D49" s="80">
        <f>IF(C46&lt;=80,C46*0.9,IF(C46&lt;250,C46*0.925,C46*0.95))</f>
        <v>163.97243750000004</v>
      </c>
    </row>
    <row r="50" spans="1:6" ht="17.25" customHeight="1" x14ac:dyDescent="0.3">
      <c r="B50" s="301"/>
      <c r="C50" s="93">
        <f>IF(C46&lt;=80, 10%, IF(C46&lt;250, 7.5%, 5%))</f>
        <v>7.4999999999999997E-2</v>
      </c>
      <c r="D50" s="80">
        <f>IF(C46&lt;=80, C46*1.1, IF(C46&lt;250, C46*1.075, C46*1.05))</f>
        <v>190.56256250000004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94" t="s">
        <v>120</v>
      </c>
      <c r="C53" s="71"/>
      <c r="D53" s="293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zoomScale="60" zoomScaleNormal="40" zoomScalePageLayoutView="50" workbookViewId="0">
      <selection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x14ac:dyDescent="0.3">
      <c r="A15" s="97"/>
    </row>
    <row r="16" spans="1:9" ht="19.5" customHeight="1" x14ac:dyDescent="0.3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102" t="str">
        <f>Uniformity!C15</f>
        <v>NDQD201508231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128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25 mg &amp; Amodiaquine HCl 67.5mg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08" t="s">
        <v>125</v>
      </c>
      <c r="C26" s="308"/>
    </row>
    <row r="27" spans="1:14" ht="26.25" customHeight="1" x14ac:dyDescent="0.4">
      <c r="A27" s="108" t="s">
        <v>43</v>
      </c>
      <c r="B27" s="314" t="s">
        <v>126</v>
      </c>
      <c r="C27" s="314"/>
    </row>
    <row r="28" spans="1:14" ht="27" customHeight="1" x14ac:dyDescent="0.4">
      <c r="A28" s="108" t="s">
        <v>5</v>
      </c>
      <c r="B28" s="109">
        <v>99.9</v>
      </c>
    </row>
    <row r="29" spans="1:14" s="14" customFormat="1" ht="27" customHeight="1" x14ac:dyDescent="0.4">
      <c r="A29" s="108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4" customFormat="1" ht="19.5" customHeight="1" x14ac:dyDescent="0.4">
      <c r="A30" s="108" t="s">
        <v>46</v>
      </c>
      <c r="B30" s="297">
        <f>B28-B29</f>
        <v>99.9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47</v>
      </c>
      <c r="B31" s="115">
        <f>B32-35.5-35.5-2</f>
        <v>355.79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4" customFormat="1" ht="27" customHeight="1" x14ac:dyDescent="0.4">
      <c r="A32" s="108" t="s">
        <v>49</v>
      </c>
      <c r="B32" s="115">
        <v>428.79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51</v>
      </c>
      <c r="B34" s="120">
        <f>B31/B32</f>
        <v>0.82975349238555007</v>
      </c>
      <c r="C34" s="98" t="s">
        <v>52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53</v>
      </c>
      <c r="B36" s="122">
        <v>25</v>
      </c>
      <c r="C36" s="98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56</v>
      </c>
      <c r="B37" s="124">
        <v>4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61</v>
      </c>
      <c r="B38" s="124">
        <v>10</v>
      </c>
      <c r="C38" s="130">
        <v>1</v>
      </c>
      <c r="D38" s="124">
        <v>28349806</v>
      </c>
      <c r="E38" s="132">
        <f>IF(ISBLANK(D38),"-",$D$48/$D$45*D38)</f>
        <v>35331343.880351976</v>
      </c>
      <c r="F38" s="131">
        <v>29930796</v>
      </c>
      <c r="G38" s="133">
        <f>IF(ISBLANK(F38),"-",$D$48/$F$45*F38)</f>
        <v>35206729.013100721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62</v>
      </c>
      <c r="B39" s="124">
        <v>1</v>
      </c>
      <c r="C39" s="135">
        <v>2</v>
      </c>
      <c r="D39" s="124">
        <v>28417794</v>
      </c>
      <c r="E39" s="137">
        <f>IF(ISBLANK(D39),"-",$D$48/$D$45*D39)</f>
        <v>35416074.880195051</v>
      </c>
      <c r="F39" s="136">
        <v>29871488</v>
      </c>
      <c r="G39" s="138">
        <f>IF(ISBLANK(F39),"-",$D$48/$F$45*F39)</f>
        <v>35136966.729320869</v>
      </c>
      <c r="I39" s="324">
        <f>ABS((F43/D43*D42)-F42)/D42</f>
        <v>3.6259774856324668E-3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35">
        <v>3</v>
      </c>
      <c r="D40" s="124">
        <v>28465100</v>
      </c>
      <c r="E40" s="137">
        <f>IF(ISBLANK(D40),"-",$D$48/$D$45*D40)</f>
        <v>35475030.647074163</v>
      </c>
      <c r="F40" s="136">
        <v>30193062</v>
      </c>
      <c r="G40" s="138">
        <f>IF(ISBLANK(F40),"-",$D$48/$F$45*F40)</f>
        <v>35515224.917832084</v>
      </c>
      <c r="I40" s="324"/>
      <c r="L40" s="116"/>
      <c r="M40" s="116"/>
      <c r="N40" s="139"/>
    </row>
    <row r="41" spans="1:14" ht="27" customHeight="1" x14ac:dyDescent="0.4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65</v>
      </c>
      <c r="B42" s="124">
        <v>1</v>
      </c>
      <c r="C42" s="145" t="s">
        <v>66</v>
      </c>
      <c r="D42" s="146">
        <f>AVERAGE(D38:D41)</f>
        <v>28410900</v>
      </c>
      <c r="E42" s="147">
        <f>AVERAGE(E38:E41)</f>
        <v>35407483.135873728</v>
      </c>
      <c r="F42" s="146">
        <f>AVERAGE(F38:F41)</f>
        <v>29998448.666666668</v>
      </c>
      <c r="G42" s="148">
        <f>AVERAGE(G38:G41)</f>
        <v>35286306.886751227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12.1</v>
      </c>
      <c r="E43" s="139"/>
      <c r="F43" s="151">
        <v>12.82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10.040017257865156</v>
      </c>
      <c r="E44" s="154"/>
      <c r="F44" s="153">
        <f>F43*$B$34</f>
        <v>10.637439772382752</v>
      </c>
      <c r="H44" s="149"/>
    </row>
    <row r="45" spans="1:14" ht="19.5" customHeight="1" x14ac:dyDescent="0.3">
      <c r="A45" s="123" t="s">
        <v>71</v>
      </c>
      <c r="B45" s="155">
        <f>(B44/B43)*(B42/B41)*(B40/B39)*(B38/B37)*B36</f>
        <v>62.5</v>
      </c>
      <c r="C45" s="152" t="s">
        <v>72</v>
      </c>
      <c r="D45" s="156">
        <f>D44*$B$30/100</f>
        <v>10.029977240607291</v>
      </c>
      <c r="E45" s="157"/>
      <c r="F45" s="156">
        <f>F44*$B$30/100</f>
        <v>10.626802332610371</v>
      </c>
      <c r="H45" s="149"/>
    </row>
    <row r="46" spans="1:14" ht="19.5" customHeight="1" x14ac:dyDescent="0.3">
      <c r="A46" s="325" t="s">
        <v>73</v>
      </c>
      <c r="B46" s="326"/>
      <c r="C46" s="152" t="s">
        <v>74</v>
      </c>
      <c r="D46" s="158">
        <f>D45/$B$45</f>
        <v>0.16047963584971667</v>
      </c>
      <c r="E46" s="159"/>
      <c r="F46" s="160">
        <f>F45/$B$45</f>
        <v>0.17002883732176594</v>
      </c>
      <c r="H46" s="149"/>
    </row>
    <row r="47" spans="1:14" ht="27" customHeight="1" x14ac:dyDescent="0.4">
      <c r="A47" s="327"/>
      <c r="B47" s="328"/>
      <c r="C47" s="161" t="s">
        <v>75</v>
      </c>
      <c r="D47" s="162">
        <v>0.2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12.5</v>
      </c>
      <c r="F48" s="165"/>
      <c r="H48" s="149"/>
    </row>
    <row r="49" spans="1:12" ht="19.5" customHeight="1" x14ac:dyDescent="0.3">
      <c r="C49" s="166" t="s">
        <v>77</v>
      </c>
      <c r="D49" s="167">
        <f>D48/B34</f>
        <v>15.064715140953933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35346895.011312477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4.2624315084597271E-3</v>
      </c>
      <c r="F51" s="169"/>
      <c r="H51" s="149"/>
    </row>
    <row r="52" spans="1:12" ht="19.5" customHeight="1" x14ac:dyDescent="0.3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98" t="s">
        <v>81</v>
      </c>
      <c r="B55" s="175" t="str">
        <f>B21</f>
        <v>Each bilayered tablet contains Artesunate 25 mg &amp; Amodiaquine HCl 67.5mg</v>
      </c>
    </row>
    <row r="56" spans="1:12" ht="26.25" customHeight="1" x14ac:dyDescent="0.4">
      <c r="A56" s="176" t="s">
        <v>82</v>
      </c>
      <c r="B56" s="177">
        <v>67.5</v>
      </c>
      <c r="C56" s="98" t="str">
        <f>B20</f>
        <v>Amodiaquine</v>
      </c>
      <c r="H56" s="178"/>
    </row>
    <row r="57" spans="1:12" ht="18.75" x14ac:dyDescent="0.3">
      <c r="A57" s="175" t="s">
        <v>83</v>
      </c>
      <c r="B57" s="269">
        <f>Uniformity!C46</f>
        <v>177.26750000000004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84</v>
      </c>
      <c r="B59" s="122">
        <v>50</v>
      </c>
      <c r="C59" s="98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4" customFormat="1" ht="26.25" customHeight="1" x14ac:dyDescent="0.4">
      <c r="A60" s="123" t="s">
        <v>88</v>
      </c>
      <c r="B60" s="124">
        <v>4</v>
      </c>
      <c r="C60" s="329" t="s">
        <v>89</v>
      </c>
      <c r="D60" s="332">
        <v>176.96</v>
      </c>
      <c r="E60" s="181">
        <v>1</v>
      </c>
      <c r="F60" s="182">
        <v>37484311</v>
      </c>
      <c r="G60" s="271">
        <f>IF(ISBLANK(F60),"-",(F60/$D$50*$D$47*$B$68)*($B$57/$D$60))</f>
        <v>66.39452835373082</v>
      </c>
      <c r="H60" s="183">
        <f>IF(ISBLANK(F60),"-",G60/$B$56)</f>
        <v>0.98362264227749363</v>
      </c>
      <c r="L60" s="111"/>
    </row>
    <row r="61" spans="1:12" s="14" customFormat="1" ht="26.25" customHeight="1" x14ac:dyDescent="0.4">
      <c r="A61" s="123" t="s">
        <v>90</v>
      </c>
      <c r="B61" s="124">
        <v>25</v>
      </c>
      <c r="C61" s="330"/>
      <c r="D61" s="333"/>
      <c r="E61" s="184">
        <v>2</v>
      </c>
      <c r="F61" s="136">
        <v>37535781</v>
      </c>
      <c r="G61" s="272">
        <f>IF(ISBLANK(F61),"-",(F61/$D$50*$D$47*$B$68)*($B$57/$D$60))</f>
        <v>66.485695198824146</v>
      </c>
      <c r="H61" s="185">
        <f t="shared" ref="H61:H71" si="0">IF(ISBLANK(F61),"-",G61/$B$56)</f>
        <v>0.98497326220480219</v>
      </c>
      <c r="L61" s="111"/>
    </row>
    <row r="62" spans="1:12" s="14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37862733</v>
      </c>
      <c r="G62" s="272">
        <f>IF(ISBLANK(F62),"-",(F62/$D$50*$D$47*$B$68)*($B$57/$D$60))</f>
        <v>67.064812788428739</v>
      </c>
      <c r="H62" s="185">
        <f t="shared" si="0"/>
        <v>0.99355278205079611</v>
      </c>
      <c r="L62" s="111"/>
    </row>
    <row r="63" spans="1:12" ht="27" customHeight="1" x14ac:dyDescent="0.4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174.74</v>
      </c>
      <c r="E64" s="181">
        <v>1</v>
      </c>
      <c r="F64" s="182"/>
      <c r="G64" s="273" t="str">
        <f>IF(ISBLANK(F64),"-",(F64/$D$50*$D$47*$B$68)*($B$57/$D$64))</f>
        <v>-</v>
      </c>
      <c r="H64" s="189" t="str">
        <f>IF(ISBLANK(F64),"-",G64/$B$56)</f>
        <v>-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/>
      <c r="G65" s="274" t="str">
        <f>IF(ISBLANK(F65),"-",(F65/$D$50*$D$47*$B$68)*($B$57/$D$64))</f>
        <v>-</v>
      </c>
      <c r="H65" s="190" t="str">
        <f t="shared" si="0"/>
        <v>-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/>
      <c r="G66" s="274" t="str">
        <f>IF(ISBLANK(F66),"-",(F66/$D$50*$D$47*$B$68)*($B$57/$D$64))</f>
        <v>-</v>
      </c>
      <c r="H66" s="190" t="str">
        <f t="shared" si="0"/>
        <v>-</v>
      </c>
    </row>
    <row r="67" spans="1:8" ht="27" customHeight="1" x14ac:dyDescent="0.4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312.5</v>
      </c>
      <c r="C68" s="329" t="s">
        <v>99</v>
      </c>
      <c r="D68" s="332">
        <v>176.54</v>
      </c>
      <c r="E68" s="181">
        <v>1</v>
      </c>
      <c r="F68" s="182">
        <v>38526408</v>
      </c>
      <c r="G68" s="273">
        <f>IF(ISBLANK(F68),"-",(F68/$D$50*$D$47*$B$68)*($B$57/$D$68))</f>
        <v>68.402703154599607</v>
      </c>
      <c r="H68" s="185">
        <f>IF(ISBLANK(F68),"-",G68/$B$56)</f>
        <v>1.0133733800681424</v>
      </c>
    </row>
    <row r="69" spans="1:8" ht="27" customHeight="1" x14ac:dyDescent="0.4">
      <c r="A69" s="171" t="s">
        <v>100</v>
      </c>
      <c r="B69" s="193">
        <f>(D47*B68)/B56*B57</f>
        <v>164.1365740740741</v>
      </c>
      <c r="C69" s="330"/>
      <c r="D69" s="333"/>
      <c r="E69" s="184">
        <v>2</v>
      </c>
      <c r="F69" s="136">
        <v>38835588</v>
      </c>
      <c r="G69" s="274">
        <f>IF(ISBLANK(F69),"-",(F69/$D$50*$D$47*$B$68)*($B$57/$D$68))</f>
        <v>68.951644747112965</v>
      </c>
      <c r="H69" s="185">
        <f t="shared" si="0"/>
        <v>1.0215058481053774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38787065</v>
      </c>
      <c r="G70" s="274">
        <f>IF(ISBLANK(F70),"-",(F70/$D$50*$D$47*$B$68)*($B$57/$D$68))</f>
        <v>68.865493337275566</v>
      </c>
      <c r="H70" s="185">
        <f t="shared" si="0"/>
        <v>1.020229530922601</v>
      </c>
    </row>
    <row r="71" spans="1:8" ht="27" customHeight="1" x14ac:dyDescent="0.4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6"/>
      <c r="G72" s="197" t="s">
        <v>66</v>
      </c>
      <c r="H72" s="198">
        <f>AVERAGE(H60:H71)</f>
        <v>1.0028762409382022</v>
      </c>
    </row>
    <row r="73" spans="1:8" ht="26.25" customHeight="1" x14ac:dyDescent="0.4">
      <c r="C73" s="195"/>
      <c r="D73" s="195"/>
      <c r="E73" s="195"/>
      <c r="F73" s="196"/>
      <c r="G73" s="199" t="s">
        <v>79</v>
      </c>
      <c r="H73" s="276">
        <f>STDEV(H60:H71)/H72</f>
        <v>1.7479888835233964E-2</v>
      </c>
    </row>
    <row r="74" spans="1:8" ht="27" customHeight="1" x14ac:dyDescent="0.4">
      <c r="A74" s="195"/>
      <c r="B74" s="195"/>
      <c r="C74" s="196"/>
      <c r="D74" s="196"/>
      <c r="E74" s="200"/>
      <c r="F74" s="196"/>
      <c r="G74" s="201" t="s">
        <v>15</v>
      </c>
      <c r="H74" s="202">
        <f>COUNT(H60:H71)</f>
        <v>6</v>
      </c>
    </row>
    <row r="76" spans="1:8" ht="26.25" customHeight="1" x14ac:dyDescent="0.4">
      <c r="A76" s="107" t="s">
        <v>101</v>
      </c>
      <c r="B76" s="203" t="s">
        <v>102</v>
      </c>
      <c r="C76" s="337" t="str">
        <f>B20</f>
        <v>Amodiaquine</v>
      </c>
      <c r="D76" s="337"/>
      <c r="E76" s="204" t="s">
        <v>103</v>
      </c>
      <c r="F76" s="204"/>
      <c r="G76" s="205">
        <f>H72</f>
        <v>1.0028762409382022</v>
      </c>
      <c r="H76" s="20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14" t="str">
        <f>B26</f>
        <v>Amodiaquine HCl</v>
      </c>
      <c r="C79" s="314"/>
    </row>
    <row r="80" spans="1:8" ht="26.25" customHeight="1" x14ac:dyDescent="0.4">
      <c r="A80" s="108" t="s">
        <v>43</v>
      </c>
      <c r="B80" s="314" t="str">
        <f>B27</f>
        <v>A7 1</v>
      </c>
      <c r="C80" s="314"/>
    </row>
    <row r="81" spans="1:12" ht="27" customHeight="1" x14ac:dyDescent="0.4">
      <c r="A81" s="108" t="s">
        <v>5</v>
      </c>
      <c r="B81" s="207">
        <f>B28</f>
        <v>99.9</v>
      </c>
    </row>
    <row r="82" spans="1:12" s="14" customFormat="1" ht="27" customHeight="1" x14ac:dyDescent="0.4">
      <c r="A82" s="108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4" customFormat="1" ht="19.5" customHeight="1" x14ac:dyDescent="0.3">
      <c r="A83" s="108" t="s">
        <v>46</v>
      </c>
      <c r="B83" s="112">
        <f>B81-B82</f>
        <v>99.9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47</v>
      </c>
      <c r="B84" s="115">
        <f>B31</f>
        <v>355.79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4" customFormat="1" ht="27" customHeight="1" x14ac:dyDescent="0.4">
      <c r="A85" s="108" t="s">
        <v>49</v>
      </c>
      <c r="B85" s="115">
        <f>B32</f>
        <v>428.79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51</v>
      </c>
      <c r="B87" s="120">
        <f>B84/B85</f>
        <v>0.82975349238555007</v>
      </c>
      <c r="C87" s="98" t="s">
        <v>52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53</v>
      </c>
      <c r="B89" s="122">
        <v>25</v>
      </c>
      <c r="D89" s="208" t="s">
        <v>54</v>
      </c>
      <c r="E89" s="209"/>
      <c r="F89" s="321" t="s">
        <v>55</v>
      </c>
      <c r="G89" s="323"/>
    </row>
    <row r="90" spans="1:12" ht="27" customHeight="1" x14ac:dyDescent="0.4">
      <c r="A90" s="123" t="s">
        <v>56</v>
      </c>
      <c r="B90" s="124">
        <v>3</v>
      </c>
      <c r="C90" s="210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25</v>
      </c>
      <c r="C91" s="212">
        <v>1</v>
      </c>
      <c r="D91" s="281">
        <v>17086106</v>
      </c>
      <c r="E91" s="132">
        <f>IF(ISBLANK(D91),"-",$D$101/$D$98*D91)</f>
        <v>26617249.455875695</v>
      </c>
      <c r="F91" s="281">
        <v>18069406</v>
      </c>
      <c r="G91" s="133">
        <f>IF(ISBLANK(F91),"-",$D$101/$F$98*F91)</f>
        <v>26568149.092564072</v>
      </c>
      <c r="I91" s="134"/>
    </row>
    <row r="92" spans="1:12" ht="26.25" customHeight="1" x14ac:dyDescent="0.4">
      <c r="A92" s="123" t="s">
        <v>62</v>
      </c>
      <c r="B92" s="124">
        <v>1</v>
      </c>
      <c r="C92" s="196">
        <v>2</v>
      </c>
      <c r="D92" s="282">
        <v>17207226</v>
      </c>
      <c r="E92" s="137">
        <f>IF(ISBLANK(D92),"-",$D$101/$D$98*D92)</f>
        <v>26805933.832180958</v>
      </c>
      <c r="F92" s="282">
        <v>18047202</v>
      </c>
      <c r="G92" s="138">
        <f>IF(ISBLANK(F92),"-",$D$101/$F$98*F92)</f>
        <v>26535501.689409189</v>
      </c>
      <c r="I92" s="324">
        <f>ABS((F96/D96*D95)-F95)/D95</f>
        <v>6.2811460178306315E-3</v>
      </c>
    </row>
    <row r="93" spans="1:12" ht="26.25" customHeight="1" x14ac:dyDescent="0.4">
      <c r="A93" s="123" t="s">
        <v>63</v>
      </c>
      <c r="B93" s="124">
        <v>1</v>
      </c>
      <c r="C93" s="196">
        <v>3</v>
      </c>
      <c r="D93" s="282">
        <v>17208269</v>
      </c>
      <c r="E93" s="137">
        <f>IF(ISBLANK(D93),"-",$D$101/$D$98*D93)</f>
        <v>26807558.648928702</v>
      </c>
      <c r="F93" s="282">
        <v>18126062</v>
      </c>
      <c r="G93" s="138">
        <f>IF(ISBLANK(F93),"-",$D$101/$F$98*F93)</f>
        <v>26651452.608738776</v>
      </c>
      <c r="I93" s="324"/>
    </row>
    <row r="94" spans="1:12" ht="27" customHeight="1" x14ac:dyDescent="0.4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x14ac:dyDescent="0.4">
      <c r="A95" s="123" t="s">
        <v>65</v>
      </c>
      <c r="B95" s="124">
        <v>1</v>
      </c>
      <c r="C95" s="214" t="s">
        <v>66</v>
      </c>
      <c r="D95" s="215">
        <f>AVERAGE(D91:D94)</f>
        <v>17167200.333333332</v>
      </c>
      <c r="E95" s="147">
        <f>AVERAGE(E91:E94)</f>
        <v>26743580.645661786</v>
      </c>
      <c r="F95" s="216">
        <f>AVERAGE(F91:F94)</f>
        <v>18080890</v>
      </c>
      <c r="G95" s="217">
        <f>AVERAGE(G91:G94)</f>
        <v>26585034.46357068</v>
      </c>
    </row>
    <row r="96" spans="1:12" ht="26.25" customHeight="1" x14ac:dyDescent="0.4">
      <c r="A96" s="123" t="s">
        <v>67</v>
      </c>
      <c r="B96" s="109">
        <v>1</v>
      </c>
      <c r="C96" s="218" t="s">
        <v>108</v>
      </c>
      <c r="D96" s="219">
        <v>12.1</v>
      </c>
      <c r="E96" s="139"/>
      <c r="F96" s="151">
        <v>12.82</v>
      </c>
    </row>
    <row r="97" spans="1:10" ht="26.25" customHeight="1" x14ac:dyDescent="0.4">
      <c r="A97" s="123" t="s">
        <v>69</v>
      </c>
      <c r="B97" s="109">
        <v>1</v>
      </c>
      <c r="C97" s="220" t="s">
        <v>109</v>
      </c>
      <c r="D97" s="221">
        <f>D96*$B$87</f>
        <v>10.040017257865156</v>
      </c>
      <c r="E97" s="154"/>
      <c r="F97" s="153">
        <f>F96*$B$87</f>
        <v>10.637439772382752</v>
      </c>
    </row>
    <row r="98" spans="1:10" ht="19.5" customHeight="1" x14ac:dyDescent="0.3">
      <c r="A98" s="123" t="s">
        <v>71</v>
      </c>
      <c r="B98" s="222">
        <f>(B97/B96)*(B95/B94)*(B93/B92)*(B91/B90)*B89</f>
        <v>208.33333333333334</v>
      </c>
      <c r="C98" s="220" t="s">
        <v>110</v>
      </c>
      <c r="D98" s="223">
        <f>D97*$B$83/100</f>
        <v>10.029977240607291</v>
      </c>
      <c r="E98" s="157"/>
      <c r="F98" s="156">
        <f>F97*$B$83/100</f>
        <v>10.626802332610371</v>
      </c>
    </row>
    <row r="99" spans="1:10" ht="19.5" customHeight="1" x14ac:dyDescent="0.3">
      <c r="A99" s="325" t="s">
        <v>73</v>
      </c>
      <c r="B99" s="339"/>
      <c r="C99" s="220" t="s">
        <v>111</v>
      </c>
      <c r="D99" s="224">
        <f>D98/$B$98</f>
        <v>4.8143890754914993E-2</v>
      </c>
      <c r="E99" s="157"/>
      <c r="F99" s="160">
        <f>F98/$B$98</f>
        <v>5.1008651196529781E-2</v>
      </c>
      <c r="G99" s="225"/>
      <c r="H99" s="149"/>
    </row>
    <row r="100" spans="1:10" ht="19.5" customHeight="1" x14ac:dyDescent="0.3">
      <c r="A100" s="327"/>
      <c r="B100" s="340"/>
      <c r="C100" s="220" t="s">
        <v>75</v>
      </c>
      <c r="D100" s="226">
        <f>$B$56/$B$116</f>
        <v>7.4999999999999997E-2</v>
      </c>
      <c r="F100" s="165"/>
      <c r="G100" s="227"/>
      <c r="H100" s="149"/>
    </row>
    <row r="101" spans="1:10" ht="18.75" x14ac:dyDescent="0.3">
      <c r="C101" s="220" t="s">
        <v>76</v>
      </c>
      <c r="D101" s="221">
        <f>D100*$B$98</f>
        <v>15.625</v>
      </c>
      <c r="F101" s="165"/>
      <c r="G101" s="225"/>
      <c r="H101" s="149"/>
    </row>
    <row r="102" spans="1:10" ht="19.5" customHeight="1" x14ac:dyDescent="0.3">
      <c r="C102" s="228" t="s">
        <v>77</v>
      </c>
      <c r="D102" s="229">
        <f>D101/B34</f>
        <v>18.830893926192417</v>
      </c>
      <c r="F102" s="169"/>
      <c r="G102" s="225"/>
      <c r="H102" s="149"/>
      <c r="J102" s="230"/>
    </row>
    <row r="103" spans="1:10" ht="18.75" x14ac:dyDescent="0.3">
      <c r="C103" s="231" t="s">
        <v>112</v>
      </c>
      <c r="D103" s="232">
        <f>AVERAGE(E91:E94,G91:G94)</f>
        <v>26664307.554616231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4.3991245834715583E-3</v>
      </c>
      <c r="F104" s="169"/>
      <c r="G104" s="225"/>
      <c r="H104" s="149"/>
      <c r="J104" s="234"/>
    </row>
    <row r="105" spans="1:10" ht="19.5" customHeight="1" x14ac:dyDescent="0.3">
      <c r="C105" s="201" t="s">
        <v>15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900</v>
      </c>
      <c r="C107" s="237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</v>
      </c>
      <c r="C108" s="241">
        <v>1</v>
      </c>
      <c r="D108" s="242">
        <v>26340974</v>
      </c>
      <c r="E108" s="277">
        <f t="shared" ref="E108:E113" si="1">IF(ISBLANK(D108),"-",D108/$D$103*$D$100*$B$116)</f>
        <v>66.681489528955822</v>
      </c>
      <c r="F108" s="243">
        <f>IF(ISBLANK(D108), "-", E108/$B$56)</f>
        <v>0.98787391894749366</v>
      </c>
    </row>
    <row r="109" spans="1:10" ht="26.25" customHeight="1" x14ac:dyDescent="0.4">
      <c r="A109" s="123" t="s">
        <v>90</v>
      </c>
      <c r="B109" s="124">
        <v>1</v>
      </c>
      <c r="C109" s="241">
        <v>2</v>
      </c>
      <c r="D109" s="242">
        <v>26445333</v>
      </c>
      <c r="E109" s="278">
        <f t="shared" si="1"/>
        <v>66.945671619024026</v>
      </c>
      <c r="F109" s="244">
        <f t="shared" ref="F109:F113" si="2">IF(ISBLANK(D109), "-", E109/$B$56)</f>
        <v>0.99178772768924484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26461468</v>
      </c>
      <c r="E110" s="278">
        <f t="shared" si="1"/>
        <v>66.986516951225866</v>
      </c>
      <c r="F110" s="244">
        <f>IF(ISBLANK(D110), "-", E110/$B$56)</f>
        <v>0.99239284372186465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26358834</v>
      </c>
      <c r="E111" s="278">
        <f t="shared" si="1"/>
        <v>66.726701653723381</v>
      </c>
      <c r="F111" s="244">
        <f t="shared" si="2"/>
        <v>0.98854372820330938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26587672</v>
      </c>
      <c r="E112" s="278">
        <f t="shared" si="1"/>
        <v>67.305999089756966</v>
      </c>
      <c r="F112" s="244">
        <f>IF(ISBLANK(D112), "-", E112/$B$56)</f>
        <v>0.99712591244084392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26737300</v>
      </c>
      <c r="E113" s="279">
        <f t="shared" si="1"/>
        <v>67.684778474119852</v>
      </c>
      <c r="F113" s="247">
        <f t="shared" si="2"/>
        <v>1.0027374588758498</v>
      </c>
    </row>
    <row r="114" spans="1:10" ht="26.25" customHeight="1" x14ac:dyDescent="0.4">
      <c r="A114" s="123" t="s">
        <v>96</v>
      </c>
      <c r="B114" s="124">
        <v>1</v>
      </c>
      <c r="C114" s="241"/>
      <c r="D114" s="196"/>
      <c r="E114" s="97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0.99341026497976781</v>
      </c>
    </row>
    <row r="116" spans="1:10" ht="27" customHeight="1" x14ac:dyDescent="0.4">
      <c r="A116" s="123" t="s">
        <v>98</v>
      </c>
      <c r="B116" s="155">
        <f>(B115/B114)*(B113/B112)*(B111/B110)*(B109/B108)*B107</f>
        <v>900</v>
      </c>
      <c r="C116" s="252"/>
      <c r="D116" s="253"/>
      <c r="E116" s="214" t="s">
        <v>79</v>
      </c>
      <c r="F116" s="254">
        <f>STDEV(F108:F113)/F115</f>
        <v>5.6730678747858145E-3</v>
      </c>
      <c r="I116" s="97"/>
    </row>
    <row r="117" spans="1:10" ht="27" customHeight="1" x14ac:dyDescent="0.4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97"/>
      <c r="J117" s="234"/>
    </row>
    <row r="118" spans="1:10" ht="19.5" customHeight="1" x14ac:dyDescent="0.3">
      <c r="A118" s="327"/>
      <c r="B118" s="328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7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101</v>
      </c>
      <c r="B120" s="203" t="s">
        <v>118</v>
      </c>
      <c r="C120" s="337" t="str">
        <f>B20</f>
        <v>Amodiaquine</v>
      </c>
      <c r="D120" s="337"/>
      <c r="E120" s="204" t="s">
        <v>119</v>
      </c>
      <c r="F120" s="204"/>
      <c r="G120" s="205">
        <f>F115</f>
        <v>0.99341026497976781</v>
      </c>
      <c r="H120" s="97"/>
      <c r="I120" s="97"/>
    </row>
    <row r="121" spans="1:10" ht="19.5" customHeight="1" x14ac:dyDescent="0.3">
      <c r="A121" s="259"/>
      <c r="B121" s="25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10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3"/>
      <c r="E123" s="296">
        <v>42339</v>
      </c>
      <c r="F123" s="97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97"/>
      <c r="G124" s="266"/>
      <c r="H124" s="266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60" zoomScaleNormal="40" zoomScalePageLayoutView="50" workbookViewId="0">
      <selection sqref="A1:I125"/>
    </sheetView>
  </sheetViews>
  <sheetFormatPr defaultColWidth="9.140625" defaultRowHeight="13.5" x14ac:dyDescent="0.25"/>
  <cols>
    <col min="1" max="1" width="55.42578125" style="225" customWidth="1"/>
    <col min="2" max="2" width="33.7109375" style="225" customWidth="1"/>
    <col min="3" max="3" width="42.28515625" style="225" customWidth="1"/>
    <col min="4" max="4" width="30.5703125" style="225" customWidth="1"/>
    <col min="5" max="5" width="39.85546875" style="225" customWidth="1"/>
    <col min="6" max="6" width="30.7109375" style="225" customWidth="1"/>
    <col min="7" max="7" width="39.85546875" style="225" customWidth="1"/>
    <col min="8" max="8" width="30" style="225" customWidth="1"/>
    <col min="9" max="9" width="30.28515625" style="225" hidden="1" customWidth="1"/>
    <col min="10" max="10" width="30.42578125" style="225" customWidth="1"/>
    <col min="11" max="11" width="21.28515625" style="225" customWidth="1"/>
    <col min="12" max="12" width="9.140625" style="225"/>
    <col min="13" max="16384" width="9.140625" style="44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thickBot="1" x14ac:dyDescent="0.35">
      <c r="A15" s="204"/>
    </row>
    <row r="16" spans="1:9" ht="19.5" customHeight="1" thickBot="1" x14ac:dyDescent="0.35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290" t="str">
        <f>Uniformity!C15</f>
        <v>NDQD201508231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124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25 mg &amp; Amodiaquine HCl 67.5mg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262" t="s">
        <v>4</v>
      </c>
      <c r="B26" s="308" t="s">
        <v>124</v>
      </c>
      <c r="C26" s="308"/>
    </row>
    <row r="27" spans="1:14" ht="26.25" customHeight="1" x14ac:dyDescent="0.4">
      <c r="A27" s="214" t="s">
        <v>43</v>
      </c>
      <c r="B27" s="314" t="s">
        <v>127</v>
      </c>
      <c r="C27" s="314"/>
    </row>
    <row r="28" spans="1:14" ht="27" customHeight="1" thickBot="1" x14ac:dyDescent="0.45">
      <c r="A28" s="214" t="s">
        <v>5</v>
      </c>
      <c r="B28" s="207">
        <v>99.3</v>
      </c>
    </row>
    <row r="29" spans="1:14" s="16" customFormat="1" ht="27" customHeight="1" thickBot="1" x14ac:dyDescent="0.45">
      <c r="A29" s="214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6" customFormat="1" ht="19.5" customHeight="1" thickBot="1" x14ac:dyDescent="0.45">
      <c r="A30" s="214" t="s">
        <v>46</v>
      </c>
      <c r="B30" s="297">
        <f>B28-B29</f>
        <v>99.3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6" customFormat="1" ht="27" customHeight="1" thickBot="1" x14ac:dyDescent="0.45">
      <c r="A31" s="214" t="s">
        <v>47</v>
      </c>
      <c r="B31" s="115">
        <v>1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6" customFormat="1" ht="27" customHeight="1" thickBot="1" x14ac:dyDescent="0.45">
      <c r="A32" s="214" t="s">
        <v>49</v>
      </c>
      <c r="B32" s="115">
        <v>1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6" customFormat="1" ht="17.25" customHeight="1" x14ac:dyDescent="0.3">
      <c r="A33" s="214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6" customFormat="1" ht="18.75" x14ac:dyDescent="0.3">
      <c r="A34" s="214" t="s">
        <v>51</v>
      </c>
      <c r="B34" s="120">
        <f>B31/B32</f>
        <v>1</v>
      </c>
      <c r="C34" s="204" t="s">
        <v>52</v>
      </c>
      <c r="D34" s="204"/>
      <c r="E34" s="204"/>
      <c r="F34" s="204"/>
      <c r="G34" s="204"/>
      <c r="I34" s="111"/>
      <c r="J34" s="111"/>
      <c r="K34" s="111"/>
      <c r="L34" s="116"/>
      <c r="M34" s="116"/>
      <c r="N34" s="117"/>
    </row>
    <row r="35" spans="1:14" s="16" customFormat="1" ht="19.5" customHeight="1" thickBot="1" x14ac:dyDescent="0.35">
      <c r="A35" s="214"/>
      <c r="B35" s="286"/>
      <c r="G35" s="204"/>
      <c r="I35" s="111"/>
      <c r="J35" s="111"/>
      <c r="K35" s="111"/>
      <c r="L35" s="116"/>
      <c r="M35" s="116"/>
      <c r="N35" s="117"/>
    </row>
    <row r="36" spans="1:14" s="16" customFormat="1" ht="27" customHeight="1" thickBot="1" x14ac:dyDescent="0.45">
      <c r="A36" s="121" t="s">
        <v>53</v>
      </c>
      <c r="B36" s="122">
        <v>5</v>
      </c>
      <c r="C36" s="204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6" customFormat="1" ht="27" customHeight="1" thickBot="1" x14ac:dyDescent="0.45">
      <c r="A37" s="123" t="s">
        <v>56</v>
      </c>
      <c r="B37" s="124">
        <v>1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6" customFormat="1" ht="26.25" customHeight="1" x14ac:dyDescent="0.4">
      <c r="A38" s="123" t="s">
        <v>61</v>
      </c>
      <c r="B38" s="124">
        <v>1</v>
      </c>
      <c r="C38" s="130">
        <v>1</v>
      </c>
      <c r="D38" s="124">
        <v>3343923</v>
      </c>
      <c r="E38" s="132">
        <f>IF(ISBLANK(D38),"-",$D$48/$D$45*D38)</f>
        <v>2934636.5736626978</v>
      </c>
      <c r="F38" s="131">
        <v>3490911</v>
      </c>
      <c r="G38" s="133">
        <f>IF(ISBLANK(F38),"-",$D$48/$F$45*F38)</f>
        <v>2952977.43591956</v>
      </c>
      <c r="I38" s="134"/>
      <c r="J38" s="111"/>
      <c r="K38" s="111"/>
      <c r="L38" s="116"/>
      <c r="M38" s="116"/>
      <c r="N38" s="117"/>
    </row>
    <row r="39" spans="1:14" s="16" customFormat="1" ht="26.25" customHeight="1" x14ac:dyDescent="0.4">
      <c r="A39" s="123" t="s">
        <v>62</v>
      </c>
      <c r="B39" s="124">
        <v>1</v>
      </c>
      <c r="C39" s="155">
        <v>2</v>
      </c>
      <c r="D39" s="124">
        <v>3346351</v>
      </c>
      <c r="E39" s="137">
        <f>IF(ISBLANK(D39),"-",$D$48/$D$45*D39)</f>
        <v>2936767.3935412816</v>
      </c>
      <c r="F39" s="136">
        <v>3489032</v>
      </c>
      <c r="G39" s="138">
        <f>IF(ISBLANK(F39),"-",$D$48/$F$45*F39)</f>
        <v>2951387.9813038185</v>
      </c>
      <c r="I39" s="324">
        <f>ABS((F43/D43*D42)-F42)/D42</f>
        <v>5.3819488321990494E-3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55">
        <v>3</v>
      </c>
      <c r="D40" s="124">
        <v>3345051</v>
      </c>
      <c r="E40" s="137">
        <f>IF(ISBLANK(D40),"-",$D$48/$D$45*D40)</f>
        <v>2935626.5097512654</v>
      </c>
      <c r="F40" s="136">
        <v>3485443</v>
      </c>
      <c r="G40" s="138">
        <f>IF(ISBLANK(F40),"-",$D$48/$F$45*F40)</f>
        <v>2948352.029938254</v>
      </c>
      <c r="I40" s="324"/>
      <c r="L40" s="116"/>
      <c r="M40" s="116"/>
      <c r="N40" s="204"/>
    </row>
    <row r="41" spans="1:14" ht="27" customHeight="1" thickBot="1" x14ac:dyDescent="0.45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204"/>
    </row>
    <row r="42" spans="1:14" ht="27" customHeight="1" thickBot="1" x14ac:dyDescent="0.45">
      <c r="A42" s="123" t="s">
        <v>65</v>
      </c>
      <c r="B42" s="124">
        <v>1</v>
      </c>
      <c r="C42" s="145" t="s">
        <v>66</v>
      </c>
      <c r="D42" s="146">
        <f>AVERAGE(D38:D41)</f>
        <v>3345108.3333333335</v>
      </c>
      <c r="E42" s="147">
        <f>AVERAGE(E38:E41)</f>
        <v>2935676.8256517481</v>
      </c>
      <c r="F42" s="146">
        <f>AVERAGE(F38:F41)</f>
        <v>3488462</v>
      </c>
      <c r="G42" s="148">
        <f>AVERAGE(G38:G41)</f>
        <v>2950905.8157205447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22.95</v>
      </c>
      <c r="E43" s="204"/>
      <c r="F43" s="151">
        <v>23.81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22.95</v>
      </c>
      <c r="E44" s="222"/>
      <c r="F44" s="153">
        <f>F43*$B$34</f>
        <v>23.81</v>
      </c>
      <c r="H44" s="149"/>
    </row>
    <row r="45" spans="1:14" ht="19.5" customHeight="1" thickBot="1" x14ac:dyDescent="0.35">
      <c r="A45" s="123" t="s">
        <v>71</v>
      </c>
      <c r="B45" s="155">
        <f>(B44/B43)*(B42/B41)*(B40/B39)*(B38/B37)*B36</f>
        <v>5</v>
      </c>
      <c r="C45" s="152" t="s">
        <v>72</v>
      </c>
      <c r="D45" s="156">
        <f>D44*$B$30/100</f>
        <v>22.789349999999999</v>
      </c>
      <c r="E45" s="200"/>
      <c r="F45" s="156">
        <f>F44*$B$30/100</f>
        <v>23.643329999999995</v>
      </c>
      <c r="H45" s="149"/>
    </row>
    <row r="46" spans="1:14" ht="19.5" customHeight="1" thickBot="1" x14ac:dyDescent="0.35">
      <c r="A46" s="325" t="s">
        <v>73</v>
      </c>
      <c r="B46" s="326"/>
      <c r="C46" s="152" t="s">
        <v>74</v>
      </c>
      <c r="D46" s="158">
        <f>D45/$B$45</f>
        <v>4.5578699999999994</v>
      </c>
      <c r="E46" s="159"/>
      <c r="F46" s="160">
        <f>F45/$B$45</f>
        <v>4.7286659999999987</v>
      </c>
      <c r="H46" s="149"/>
    </row>
    <row r="47" spans="1:14" ht="27" customHeight="1" thickBot="1" x14ac:dyDescent="0.45">
      <c r="A47" s="327"/>
      <c r="B47" s="328"/>
      <c r="C47" s="161" t="s">
        <v>75</v>
      </c>
      <c r="D47" s="162">
        <v>4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20</v>
      </c>
      <c r="F48" s="165"/>
      <c r="H48" s="149"/>
    </row>
    <row r="49" spans="1:12" ht="19.5" customHeight="1" thickBot="1" x14ac:dyDescent="0.35">
      <c r="C49" s="166" t="s">
        <v>77</v>
      </c>
      <c r="D49" s="167">
        <f>D48/B34</f>
        <v>20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2943291.3206861462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2.887736040930552E-3</v>
      </c>
      <c r="F51" s="169"/>
      <c r="H51" s="149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204" t="s">
        <v>81</v>
      </c>
      <c r="B55" s="176" t="str">
        <f>B21</f>
        <v>Each bilayered tablet contains Artesunate 25 mg &amp; Amodiaquine HCl 67.5mg</v>
      </c>
    </row>
    <row r="56" spans="1:12" ht="26.25" customHeight="1" x14ac:dyDescent="0.4">
      <c r="A56" s="176" t="s">
        <v>82</v>
      </c>
      <c r="B56" s="177">
        <v>25</v>
      </c>
      <c r="C56" s="204" t="str">
        <f>B20</f>
        <v>Artesunate</v>
      </c>
      <c r="H56" s="222"/>
    </row>
    <row r="57" spans="1:12" ht="18.75" x14ac:dyDescent="0.3">
      <c r="A57" s="176" t="s">
        <v>83</v>
      </c>
      <c r="B57" s="269">
        <f>Uniformity!C46</f>
        <v>177.26750000000004</v>
      </c>
      <c r="H57" s="222"/>
    </row>
    <row r="58" spans="1:12" ht="19.5" customHeight="1" thickBot="1" x14ac:dyDescent="0.35">
      <c r="H58" s="222"/>
    </row>
    <row r="59" spans="1:12" s="16" customFormat="1" ht="27" customHeight="1" thickBot="1" x14ac:dyDescent="0.45">
      <c r="A59" s="121" t="s">
        <v>84</v>
      </c>
      <c r="B59" s="122">
        <v>5</v>
      </c>
      <c r="C59" s="204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6" customFormat="1" ht="26.25" customHeight="1" x14ac:dyDescent="0.4">
      <c r="A60" s="123" t="s">
        <v>88</v>
      </c>
      <c r="B60" s="124">
        <v>1</v>
      </c>
      <c r="C60" s="329" t="s">
        <v>89</v>
      </c>
      <c r="D60" s="332">
        <v>175.91</v>
      </c>
      <c r="E60" s="181">
        <v>1</v>
      </c>
      <c r="F60" s="182">
        <v>3627937</v>
      </c>
      <c r="G60" s="271">
        <f>IF(ISBLANK(F60),"-",(F60/$D$50*$D$47*$B$68)*($B$57/$D$60))</f>
        <v>24.842487159273098</v>
      </c>
      <c r="H60" s="183">
        <f>IF(ISBLANK(F60),"-",G60/$B$56)</f>
        <v>0.99369948637092387</v>
      </c>
      <c r="L60" s="111"/>
    </row>
    <row r="61" spans="1:12" s="16" customFormat="1" ht="26.25" customHeight="1" x14ac:dyDescent="0.4">
      <c r="A61" s="123" t="s">
        <v>90</v>
      </c>
      <c r="B61" s="124">
        <v>1</v>
      </c>
      <c r="C61" s="330"/>
      <c r="D61" s="333"/>
      <c r="E61" s="184">
        <v>2</v>
      </c>
      <c r="F61" s="136">
        <v>3629757</v>
      </c>
      <c r="G61" s="272">
        <f>IF(ISBLANK(F61),"-",(F61/$D$50*$D$47*$B$68)*($B$57/$D$60))</f>
        <v>24.854949703862452</v>
      </c>
      <c r="H61" s="185">
        <f t="shared" ref="H61:H71" si="0">IF(ISBLANK(F61),"-",G61/$B$56)</f>
        <v>0.99419798815449811</v>
      </c>
      <c r="L61" s="111"/>
    </row>
    <row r="62" spans="1:12" s="16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3627457</v>
      </c>
      <c r="G62" s="272">
        <f>IF(ISBLANK(F62),"-",(F62/$D$50*$D$47*$B$68)*($B$57/$D$60))</f>
        <v>24.839200334326453</v>
      </c>
      <c r="H62" s="185">
        <f t="shared" si="0"/>
        <v>0.99356801337305811</v>
      </c>
      <c r="L62" s="111"/>
    </row>
    <row r="63" spans="1:12" ht="27" customHeight="1" thickBot="1" x14ac:dyDescent="0.45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177.61</v>
      </c>
      <c r="E64" s="181">
        <v>1</v>
      </c>
      <c r="F64" s="182">
        <v>3654367</v>
      </c>
      <c r="G64" s="273">
        <f>IF(ISBLANK(F64),"-",(F64/$D$50*$D$47*$B$68)*($B$57/$D$64))</f>
        <v>24.783955005201154</v>
      </c>
      <c r="H64" s="189">
        <f>IF(ISBLANK(F64),"-",G64/$B$56)</f>
        <v>0.9913582002080461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3661320</v>
      </c>
      <c r="G65" s="274">
        <f>IF(ISBLANK(F65),"-",(F65/$D$50*$D$47*$B$68)*($B$57/$D$64))</f>
        <v>24.831110323523362</v>
      </c>
      <c r="H65" s="190">
        <f t="shared" si="0"/>
        <v>0.99324441294093446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3667180</v>
      </c>
      <c r="G66" s="274">
        <f>IF(ISBLANK(F66),"-",(F66/$D$50*$D$47*$B$68)*($B$57/$D$64))</f>
        <v>24.870852904476635</v>
      </c>
      <c r="H66" s="190">
        <f t="shared" si="0"/>
        <v>0.99483411617906536</v>
      </c>
    </row>
    <row r="67" spans="1:8" ht="27" customHeight="1" thickBot="1" x14ac:dyDescent="0.45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5</v>
      </c>
      <c r="C68" s="329" t="s">
        <v>99</v>
      </c>
      <c r="D68" s="332">
        <v>178.88</v>
      </c>
      <c r="E68" s="181">
        <v>1</v>
      </c>
      <c r="F68" s="182">
        <v>3759079</v>
      </c>
      <c r="G68" s="273">
        <f>IF(ISBLANK(F68),"-",(F68/$D$50*$D$47*$B$68)*($B$57/$D$68))</f>
        <v>25.313111517931564</v>
      </c>
      <c r="H68" s="185">
        <f>IF(ISBLANK(F68),"-",G68/$B$56)</f>
        <v>1.0125244607172625</v>
      </c>
    </row>
    <row r="69" spans="1:8" ht="27" customHeight="1" thickBot="1" x14ac:dyDescent="0.45">
      <c r="A69" s="171" t="s">
        <v>100</v>
      </c>
      <c r="B69" s="193">
        <f>(D47*B68)/B56*B57</f>
        <v>141.81400000000005</v>
      </c>
      <c r="C69" s="330"/>
      <c r="D69" s="333"/>
      <c r="E69" s="184">
        <v>2</v>
      </c>
      <c r="F69" s="136">
        <v>3771511</v>
      </c>
      <c r="G69" s="274">
        <f>IF(ISBLANK(F69),"-",(F69/$D$50*$D$47*$B$68)*($B$57/$D$68))</f>
        <v>25.396826864800015</v>
      </c>
      <c r="H69" s="185">
        <f t="shared" si="0"/>
        <v>1.0158730745920006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3780777</v>
      </c>
      <c r="G70" s="274">
        <f>IF(ISBLANK(F70),"-",(F70/$D$50*$D$47*$B$68)*($B$57/$D$68))</f>
        <v>25.459222811074397</v>
      </c>
      <c r="H70" s="185">
        <f t="shared" si="0"/>
        <v>1.018368912442976</v>
      </c>
    </row>
    <row r="71" spans="1:8" ht="27" customHeight="1" thickBot="1" x14ac:dyDescent="0.45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222"/>
      <c r="B72" s="222"/>
      <c r="C72" s="222"/>
      <c r="D72" s="222"/>
      <c r="E72" s="222"/>
      <c r="F72" s="222"/>
      <c r="G72" s="197" t="s">
        <v>66</v>
      </c>
      <c r="H72" s="198">
        <f>AVERAGE(H60:H71)</f>
        <v>1.0008520738865296</v>
      </c>
    </row>
    <row r="73" spans="1:8" ht="26.25" customHeight="1" x14ac:dyDescent="0.4">
      <c r="C73" s="222"/>
      <c r="D73" s="222"/>
      <c r="E73" s="222"/>
      <c r="F73" s="222"/>
      <c r="G73" s="199" t="s">
        <v>79</v>
      </c>
      <c r="H73" s="276">
        <f>STDEV(H60:H71)/H72</f>
        <v>1.1178831311324059E-2</v>
      </c>
    </row>
    <row r="74" spans="1:8" ht="27" customHeight="1" thickBot="1" x14ac:dyDescent="0.45">
      <c r="A74" s="222"/>
      <c r="B74" s="222"/>
      <c r="C74" s="222"/>
      <c r="D74" s="222"/>
      <c r="E74" s="200"/>
      <c r="F74" s="222"/>
      <c r="G74" s="201" t="s">
        <v>15</v>
      </c>
      <c r="H74" s="202">
        <f>COUNT(H60:H71)</f>
        <v>9</v>
      </c>
    </row>
    <row r="76" spans="1:8" ht="26.25" customHeight="1" x14ac:dyDescent="0.4">
      <c r="A76" s="262" t="s">
        <v>101</v>
      </c>
      <c r="B76" s="214" t="s">
        <v>102</v>
      </c>
      <c r="C76" s="337" t="str">
        <f>B20</f>
        <v>Artesunate</v>
      </c>
      <c r="D76" s="337"/>
      <c r="E76" s="204" t="s">
        <v>103</v>
      </c>
      <c r="F76" s="204"/>
      <c r="G76" s="205">
        <f>H72</f>
        <v>1.0008520738865296</v>
      </c>
      <c r="H76" s="28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262" t="s">
        <v>4</v>
      </c>
      <c r="B79" s="314" t="str">
        <f>B26</f>
        <v>Artesunate</v>
      </c>
      <c r="C79" s="314"/>
    </row>
    <row r="80" spans="1:8" ht="26.25" customHeight="1" x14ac:dyDescent="0.4">
      <c r="A80" s="214" t="s">
        <v>43</v>
      </c>
      <c r="B80" s="314" t="str">
        <f>B27</f>
        <v>A15 2</v>
      </c>
      <c r="C80" s="314"/>
    </row>
    <row r="81" spans="1:12" ht="27" customHeight="1" thickBot="1" x14ac:dyDescent="0.45">
      <c r="A81" s="214" t="s">
        <v>5</v>
      </c>
      <c r="B81" s="207">
        <f>B28</f>
        <v>99.3</v>
      </c>
    </row>
    <row r="82" spans="1:12" s="16" customFormat="1" ht="27" customHeight="1" thickBot="1" x14ac:dyDescent="0.45">
      <c r="A82" s="214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6" customFormat="1" ht="19.5" customHeight="1" thickBot="1" x14ac:dyDescent="0.35">
      <c r="A83" s="214" t="s">
        <v>46</v>
      </c>
      <c r="B83" s="286">
        <f>B81-B82</f>
        <v>99.3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6" customFormat="1" ht="27" customHeight="1" thickBot="1" x14ac:dyDescent="0.45">
      <c r="A84" s="214" t="s">
        <v>47</v>
      </c>
      <c r="B84" s="115">
        <v>1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6" customFormat="1" ht="27" customHeight="1" thickBot="1" x14ac:dyDescent="0.45">
      <c r="A85" s="214" t="s">
        <v>49</v>
      </c>
      <c r="B85" s="115">
        <v>1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6" customFormat="1" ht="18.75" x14ac:dyDescent="0.3">
      <c r="A86" s="214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6" customFormat="1" ht="18.75" x14ac:dyDescent="0.3">
      <c r="A87" s="214" t="s">
        <v>51</v>
      </c>
      <c r="B87" s="120">
        <f>B84/B85</f>
        <v>1</v>
      </c>
      <c r="C87" s="204" t="s">
        <v>52</v>
      </c>
      <c r="D87" s="204"/>
      <c r="E87" s="204"/>
      <c r="F87" s="204"/>
      <c r="G87" s="204"/>
      <c r="I87" s="111"/>
      <c r="J87" s="111"/>
      <c r="K87" s="111"/>
      <c r="L87" s="111"/>
    </row>
    <row r="88" spans="1:12" ht="19.5" customHeight="1" thickBot="1" x14ac:dyDescent="0.35">
      <c r="A88" s="106"/>
      <c r="B88" s="106"/>
    </row>
    <row r="89" spans="1:12" ht="27" customHeight="1" thickBot="1" x14ac:dyDescent="0.45">
      <c r="A89" s="121" t="s">
        <v>53</v>
      </c>
      <c r="B89" s="122">
        <v>5</v>
      </c>
      <c r="D89" s="288" t="s">
        <v>54</v>
      </c>
      <c r="E89" s="291"/>
      <c r="F89" s="321" t="s">
        <v>55</v>
      </c>
      <c r="G89" s="323"/>
    </row>
    <row r="90" spans="1:12" ht="27" customHeight="1" thickBot="1" x14ac:dyDescent="0.45">
      <c r="A90" s="123" t="s">
        <v>56</v>
      </c>
      <c r="B90" s="124">
        <v>1</v>
      </c>
      <c r="C90" s="287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100</v>
      </c>
      <c r="C91" s="212">
        <v>1</v>
      </c>
      <c r="D91" s="281">
        <v>1034501</v>
      </c>
      <c r="E91" s="132">
        <f>IF(ISBLANK(D91),"-",$D$101/$D$98*D91)</f>
        <v>1134851.3669762411</v>
      </c>
      <c r="F91" s="281">
        <v>1069301</v>
      </c>
      <c r="G91" s="133">
        <f>IF(ISBLANK(F91),"-",$D$101/$F$98*F91)</f>
        <v>1130658.202545919</v>
      </c>
      <c r="I91" s="134"/>
    </row>
    <row r="92" spans="1:12" ht="26.25" customHeight="1" x14ac:dyDescent="0.4">
      <c r="A92" s="123" t="s">
        <v>62</v>
      </c>
      <c r="B92" s="124">
        <v>1</v>
      </c>
      <c r="C92" s="222">
        <v>2</v>
      </c>
      <c r="D92" s="282">
        <v>1035163</v>
      </c>
      <c r="E92" s="137">
        <f>IF(ISBLANK(D92),"-",$D$101/$D$98*D92)</f>
        <v>1135577.583388732</v>
      </c>
      <c r="F92" s="282">
        <v>1070497</v>
      </c>
      <c r="G92" s="138">
        <f>IF(ISBLANK(F92),"-",$D$101/$F$98*F92)</f>
        <v>1131922.8298213494</v>
      </c>
      <c r="I92" s="324">
        <f>ABS((F96/D96*D95)-F95)/D95</f>
        <v>1.5397061483130923E-3</v>
      </c>
    </row>
    <row r="93" spans="1:12" ht="26.25" customHeight="1" x14ac:dyDescent="0.4">
      <c r="A93" s="123" t="s">
        <v>63</v>
      </c>
      <c r="B93" s="124">
        <v>1</v>
      </c>
      <c r="C93" s="222">
        <v>3</v>
      </c>
      <c r="D93" s="282">
        <v>1033328</v>
      </c>
      <c r="E93" s="137">
        <f>IF(ISBLANK(D93),"-",$D$101/$D$98*D93)</f>
        <v>1133564.5817015404</v>
      </c>
      <c r="F93" s="282">
        <v>1074694</v>
      </c>
      <c r="G93" s="138">
        <f>IF(ISBLANK(F93),"-",$D$101/$F$98*F93)</f>
        <v>1136360.6564726713</v>
      </c>
      <c r="I93" s="324"/>
    </row>
    <row r="94" spans="1:12" ht="27" customHeight="1" thickBot="1" x14ac:dyDescent="0.45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 t="s">
        <v>130</v>
      </c>
      <c r="G94" s="143"/>
      <c r="I94" s="144"/>
    </row>
    <row r="95" spans="1:12" ht="27" customHeight="1" thickBot="1" x14ac:dyDescent="0.45">
      <c r="A95" s="123" t="s">
        <v>65</v>
      </c>
      <c r="B95" s="124">
        <v>1</v>
      </c>
      <c r="C95" s="214" t="s">
        <v>66</v>
      </c>
      <c r="D95" s="215">
        <f>AVERAGE(D91:D94)</f>
        <v>1034330.6666666666</v>
      </c>
      <c r="E95" s="147">
        <f>AVERAGE(E91:E94)</f>
        <v>1134664.5106888379</v>
      </c>
      <c r="F95" s="216">
        <f>AVERAGE(F91:F94)</f>
        <v>1071497.3333333333</v>
      </c>
      <c r="G95" s="217">
        <f>AVERAGE(G91:G94)</f>
        <v>1132980.5629466467</v>
      </c>
    </row>
    <row r="96" spans="1:12" ht="26.25" customHeight="1" x14ac:dyDescent="0.4">
      <c r="A96" s="123" t="s">
        <v>67</v>
      </c>
      <c r="B96" s="207">
        <v>1</v>
      </c>
      <c r="C96" s="218" t="s">
        <v>108</v>
      </c>
      <c r="D96" s="219">
        <v>22.95</v>
      </c>
      <c r="E96" s="204"/>
      <c r="F96" s="151">
        <v>23.81</v>
      </c>
    </row>
    <row r="97" spans="1:10" ht="26.25" customHeight="1" x14ac:dyDescent="0.4">
      <c r="A97" s="123" t="s">
        <v>69</v>
      </c>
      <c r="B97" s="207">
        <v>1</v>
      </c>
      <c r="C97" s="220" t="s">
        <v>109</v>
      </c>
      <c r="D97" s="221">
        <f>D96*$B$87</f>
        <v>22.95</v>
      </c>
      <c r="E97" s="222"/>
      <c r="F97" s="153">
        <f>F96*$B$87</f>
        <v>23.81</v>
      </c>
    </row>
    <row r="98" spans="1:10" ht="19.5" customHeight="1" thickBot="1" x14ac:dyDescent="0.35">
      <c r="A98" s="123" t="s">
        <v>71</v>
      </c>
      <c r="B98" s="222">
        <f>(B97/B96)*(B95/B94)*(B93/B92)*(B91/B90)*B89</f>
        <v>500</v>
      </c>
      <c r="C98" s="220" t="s">
        <v>110</v>
      </c>
      <c r="D98" s="223">
        <f>D97*$B$83/100</f>
        <v>22.789349999999999</v>
      </c>
      <c r="E98" s="200"/>
      <c r="F98" s="156">
        <f>F97*$B$83/100</f>
        <v>23.643329999999995</v>
      </c>
    </row>
    <row r="99" spans="1:10" ht="19.5" customHeight="1" thickBot="1" x14ac:dyDescent="0.35">
      <c r="A99" s="325" t="s">
        <v>73</v>
      </c>
      <c r="B99" s="339"/>
      <c r="C99" s="220" t="s">
        <v>111</v>
      </c>
      <c r="D99" s="224">
        <f>D98/$B$98</f>
        <v>4.55787E-2</v>
      </c>
      <c r="E99" s="200"/>
      <c r="F99" s="160">
        <f>F98/$B$98</f>
        <v>4.7286659999999987E-2</v>
      </c>
      <c r="H99" s="149"/>
    </row>
    <row r="100" spans="1:10" ht="19.5" customHeight="1" thickBot="1" x14ac:dyDescent="0.35">
      <c r="A100" s="327"/>
      <c r="B100" s="340"/>
      <c r="C100" s="220" t="s">
        <v>75</v>
      </c>
      <c r="D100" s="226">
        <f>$B$56/$B$116</f>
        <v>0.05</v>
      </c>
      <c r="F100" s="165"/>
      <c r="G100" s="233"/>
      <c r="H100" s="149"/>
    </row>
    <row r="101" spans="1:10" ht="18.75" x14ac:dyDescent="0.3">
      <c r="C101" s="220" t="s">
        <v>76</v>
      </c>
      <c r="D101" s="221">
        <f>D100*$B$98</f>
        <v>25</v>
      </c>
      <c r="F101" s="165"/>
      <c r="H101" s="149"/>
    </row>
    <row r="102" spans="1:10" ht="19.5" customHeight="1" thickBot="1" x14ac:dyDescent="0.35">
      <c r="C102" s="228" t="s">
        <v>77</v>
      </c>
      <c r="D102" s="229">
        <f>D101/B34</f>
        <v>25</v>
      </c>
      <c r="F102" s="169"/>
      <c r="H102" s="149"/>
      <c r="J102" s="230"/>
    </row>
    <row r="103" spans="1:10" ht="18.75" x14ac:dyDescent="0.3">
      <c r="C103" s="231" t="s">
        <v>112</v>
      </c>
      <c r="D103" s="232">
        <f>AVERAGE(E91:E94,G91:G94)</f>
        <v>1133822.5368177423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1.9431099549532085E-3</v>
      </c>
      <c r="F104" s="169"/>
      <c r="H104" s="149"/>
      <c r="J104" s="234"/>
    </row>
    <row r="105" spans="1:10" ht="19.5" customHeight="1" thickBot="1" x14ac:dyDescent="0.35">
      <c r="C105" s="201" t="s">
        <v>15</v>
      </c>
      <c r="D105" s="236">
        <f>COUNT(E91:E94,G91:G94)</f>
        <v>6</v>
      </c>
      <c r="F105" s="169"/>
      <c r="H105" s="149"/>
      <c r="J105" s="234"/>
    </row>
    <row r="106" spans="1:10" ht="19.5" customHeight="1" thickBot="1" x14ac:dyDescent="0.35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500</v>
      </c>
      <c r="C107" s="288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</v>
      </c>
      <c r="C108" s="241">
        <v>1</v>
      </c>
      <c r="D108" s="242">
        <v>1157918</v>
      </c>
      <c r="E108" s="277">
        <f t="shared" ref="E108:E113" si="1">IF(ISBLANK(D108),"-",D108/$D$103*$D$100*$B$116)</f>
        <v>25.531288239557441</v>
      </c>
      <c r="F108" s="243">
        <f>IF(ISBLANK(D108), "-", E108/$B$56)</f>
        <v>1.0212515295822977</v>
      </c>
    </row>
    <row r="109" spans="1:10" ht="26.25" customHeight="1" x14ac:dyDescent="0.4">
      <c r="A109" s="123" t="s">
        <v>90</v>
      </c>
      <c r="B109" s="124">
        <v>1</v>
      </c>
      <c r="C109" s="241">
        <v>2</v>
      </c>
      <c r="D109" s="242">
        <v>1157458</v>
      </c>
      <c r="E109" s="278">
        <f t="shared" si="1"/>
        <v>25.521145558823395</v>
      </c>
      <c r="F109" s="244">
        <f t="shared" ref="F109:F113" si="2">IF(ISBLANK(D109), "-", E109/$B$56)</f>
        <v>1.0208458223529358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1158614</v>
      </c>
      <c r="E110" s="278">
        <f t="shared" si="1"/>
        <v>25.546634556494155</v>
      </c>
      <c r="F110" s="244">
        <f>IF(ISBLANK(D110), "-", E110/$B$56)</f>
        <v>1.0218653822597661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1166252</v>
      </c>
      <c r="E111" s="278">
        <f t="shared" si="1"/>
        <v>25.715047155291085</v>
      </c>
      <c r="F111" s="244">
        <f t="shared" si="2"/>
        <v>1.0286018862116435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1163167</v>
      </c>
      <c r="E112" s="278">
        <f t="shared" si="1"/>
        <v>25.647025046455191</v>
      </c>
      <c r="F112" s="244">
        <f>IF(ISBLANK(D112), "-", E112/$B$56)</f>
        <v>1.0258810018582076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1162630</v>
      </c>
      <c r="E113" s="279">
        <f t="shared" si="1"/>
        <v>25.635184569163499</v>
      </c>
      <c r="F113" s="247">
        <f t="shared" si="2"/>
        <v>1.02540738276654</v>
      </c>
    </row>
    <row r="114" spans="1:10" ht="26.25" customHeight="1" x14ac:dyDescent="0.4">
      <c r="A114" s="123" t="s">
        <v>96</v>
      </c>
      <c r="B114" s="124">
        <v>1</v>
      </c>
      <c r="C114" s="241"/>
      <c r="D114" s="222"/>
      <c r="E114" s="204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1.0239755008385651</v>
      </c>
    </row>
    <row r="116" spans="1:10" ht="27" customHeight="1" thickBot="1" x14ac:dyDescent="0.45">
      <c r="A116" s="123" t="s">
        <v>98</v>
      </c>
      <c r="B116" s="155">
        <f>(B115/B114)*(B113/B112)*(B111/B110)*(B109/B108)*B107</f>
        <v>500</v>
      </c>
      <c r="C116" s="252"/>
      <c r="D116" s="253"/>
      <c r="E116" s="214" t="s">
        <v>79</v>
      </c>
      <c r="F116" s="254">
        <f>STDEV(F108:F113)/F115</f>
        <v>3.0494562173355353E-3</v>
      </c>
      <c r="I116" s="204"/>
    </row>
    <row r="117" spans="1:10" ht="27" customHeight="1" thickBot="1" x14ac:dyDescent="0.45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204"/>
      <c r="J117" s="234"/>
    </row>
    <row r="118" spans="1:10" ht="19.5" customHeight="1" thickBot="1" x14ac:dyDescent="0.35">
      <c r="A118" s="327"/>
      <c r="B118" s="328"/>
      <c r="C118" s="204"/>
      <c r="D118" s="204"/>
      <c r="E118" s="204"/>
      <c r="F118" s="222"/>
      <c r="G118" s="204"/>
      <c r="H118" s="204"/>
      <c r="I118" s="204"/>
    </row>
    <row r="119" spans="1:10" ht="18.75" x14ac:dyDescent="0.3">
      <c r="A119" s="267"/>
      <c r="B119" s="119"/>
      <c r="C119" s="204"/>
      <c r="D119" s="204"/>
      <c r="E119" s="204"/>
      <c r="F119" s="222"/>
      <c r="G119" s="204"/>
      <c r="H119" s="204"/>
      <c r="I119" s="204"/>
    </row>
    <row r="120" spans="1:10" ht="26.25" customHeight="1" x14ac:dyDescent="0.4">
      <c r="A120" s="262" t="s">
        <v>101</v>
      </c>
      <c r="B120" s="214" t="s">
        <v>118</v>
      </c>
      <c r="C120" s="337" t="str">
        <f>B20</f>
        <v>Artesunate</v>
      </c>
      <c r="D120" s="337"/>
      <c r="E120" s="204" t="s">
        <v>119</v>
      </c>
      <c r="F120" s="204"/>
      <c r="G120" s="205">
        <f>F115</f>
        <v>1.0239755008385651</v>
      </c>
      <c r="H120" s="204"/>
      <c r="I120" s="204"/>
    </row>
    <row r="121" spans="1:10" ht="19.5" customHeight="1" thickBot="1" x14ac:dyDescent="0.35">
      <c r="A121" s="289"/>
      <c r="B121" s="28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87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4"/>
      <c r="E123" s="296">
        <v>42339</v>
      </c>
      <c r="F123" s="204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204"/>
      <c r="G124" s="266"/>
      <c r="H124" s="266"/>
    </row>
    <row r="125" spans="1:10" ht="18.75" x14ac:dyDescent="0.3">
      <c r="A125" s="222"/>
      <c r="B125" s="222"/>
      <c r="C125" s="222"/>
      <c r="D125" s="222"/>
      <c r="E125" s="222"/>
      <c r="F125" s="200"/>
      <c r="G125" s="222"/>
      <c r="H125" s="222"/>
      <c r="I125" s="204"/>
    </row>
    <row r="126" spans="1:10" ht="18.75" x14ac:dyDescent="0.3">
      <c r="A126" s="222"/>
      <c r="B126" s="222"/>
      <c r="C126" s="222"/>
      <c r="D126" s="222"/>
      <c r="E126" s="222"/>
      <c r="F126" s="200"/>
      <c r="G126" s="222"/>
      <c r="H126" s="222"/>
      <c r="I126" s="204"/>
    </row>
    <row r="127" spans="1:10" ht="18.75" x14ac:dyDescent="0.3">
      <c r="A127" s="222"/>
      <c r="B127" s="222"/>
      <c r="C127" s="222"/>
      <c r="D127" s="222"/>
      <c r="E127" s="222"/>
      <c r="F127" s="200"/>
      <c r="G127" s="222"/>
      <c r="H127" s="222"/>
      <c r="I127" s="204"/>
    </row>
    <row r="128" spans="1:10" ht="18.75" x14ac:dyDescent="0.3">
      <c r="A128" s="222"/>
      <c r="B128" s="222"/>
      <c r="C128" s="222"/>
      <c r="D128" s="222"/>
      <c r="E128" s="222"/>
      <c r="F128" s="200"/>
      <c r="G128" s="222"/>
      <c r="H128" s="222"/>
      <c r="I128" s="204"/>
    </row>
    <row r="129" spans="1:9" ht="18.75" x14ac:dyDescent="0.3">
      <c r="A129" s="222"/>
      <c r="B129" s="222"/>
      <c r="C129" s="222"/>
      <c r="D129" s="222"/>
      <c r="E129" s="222"/>
      <c r="F129" s="200"/>
      <c r="G129" s="222"/>
      <c r="H129" s="222"/>
      <c r="I129" s="204"/>
    </row>
    <row r="130" spans="1:9" ht="18.75" x14ac:dyDescent="0.3">
      <c r="A130" s="222"/>
      <c r="B130" s="222"/>
      <c r="C130" s="222"/>
      <c r="D130" s="222"/>
      <c r="E130" s="222"/>
      <c r="F130" s="200"/>
      <c r="G130" s="222"/>
      <c r="H130" s="222"/>
      <c r="I130" s="204"/>
    </row>
    <row r="131" spans="1:9" ht="18.75" x14ac:dyDescent="0.3">
      <c r="A131" s="222"/>
      <c r="B131" s="222"/>
      <c r="C131" s="222"/>
      <c r="D131" s="222"/>
      <c r="E131" s="222"/>
      <c r="F131" s="200"/>
      <c r="G131" s="222"/>
      <c r="H131" s="222"/>
      <c r="I131" s="204"/>
    </row>
    <row r="132" spans="1:9" ht="18.75" x14ac:dyDescent="0.3">
      <c r="A132" s="222"/>
      <c r="B132" s="222"/>
      <c r="C132" s="222"/>
      <c r="D132" s="222"/>
      <c r="E132" s="222"/>
      <c r="F132" s="200"/>
      <c r="G132" s="222"/>
      <c r="H132" s="222"/>
      <c r="I132" s="204"/>
    </row>
    <row r="133" spans="1:9" ht="18.75" x14ac:dyDescent="0.3">
      <c r="A133" s="222"/>
      <c r="B133" s="222"/>
      <c r="C133" s="222"/>
      <c r="D133" s="222"/>
      <c r="E133" s="222"/>
      <c r="F133" s="200"/>
      <c r="G133" s="222"/>
      <c r="H133" s="222"/>
      <c r="I133" s="204"/>
    </row>
    <row r="250" spans="1:1" x14ac:dyDescent="0.25">
      <c r="A250" s="22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(AH)</vt:lpstr>
      <vt:lpstr>SST (A)</vt:lpstr>
      <vt:lpstr>Uniformity</vt:lpstr>
      <vt:lpstr>Amodiaquine HCl</vt:lpstr>
      <vt:lpstr>Artesunate</vt:lpstr>
      <vt:lpstr>'Amodiaquine HCl'!Print_Area</vt:lpstr>
      <vt:lpstr>Artesunate!Print_Area</vt:lpstr>
      <vt:lpstr>'SST (AH)'!Print_Area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MichaelBugigiSangale</cp:lastModifiedBy>
  <cp:lastPrinted>2015-12-09T09:59:21Z</cp:lastPrinted>
  <dcterms:created xsi:type="dcterms:W3CDTF">2005-07-05T10:19:27Z</dcterms:created>
  <dcterms:modified xsi:type="dcterms:W3CDTF">2015-12-09T10:00:33Z</dcterms:modified>
</cp:coreProperties>
</file>